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10 OCTUBRE 2020\4 INCISO G NOMINAS DEL SUJETO OBLIGADO OCTBURE 2020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JUBILADOS!$C$3:$I$28</definedName>
    <definedName name="_xlnm.Print_Area" localSheetId="2">PERMANENTES!$D$83:$M$115</definedName>
    <definedName name="_xlnm.Print_Area" localSheetId="1">REGIDORES!$A$3:$L$36</definedName>
    <definedName name="_xlnm.Print_Area" localSheetId="4">'SEG.PUB.MPAL Y SERVICIOS MEDICO'!$D$51:$M$77</definedName>
    <definedName name="_xlnm.Print_Area" localSheetId="3">SUPERNUMERARIO!$B$131:$M$164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J35" i="124" l="1"/>
  <c r="K35" i="124" s="1"/>
  <c r="I35" i="124"/>
  <c r="J34" i="124"/>
  <c r="K34" i="124" s="1"/>
  <c r="I34" i="124"/>
  <c r="J33" i="124"/>
  <c r="K33" i="124" s="1"/>
  <c r="I33" i="124"/>
  <c r="J32" i="124"/>
  <c r="K32" i="124" s="1"/>
  <c r="I32" i="124"/>
  <c r="J31" i="124"/>
  <c r="K31" i="124" s="1"/>
  <c r="I31" i="124"/>
  <c r="J30" i="124"/>
  <c r="K30" i="124" s="1"/>
  <c r="I30" i="124"/>
  <c r="J29" i="124"/>
  <c r="K29" i="124" s="1"/>
  <c r="I29" i="124"/>
  <c r="J28" i="124"/>
  <c r="K28" i="124" s="1"/>
  <c r="I28" i="124"/>
  <c r="J27" i="124"/>
  <c r="K27" i="124" s="1"/>
  <c r="I27" i="124"/>
  <c r="J26" i="124"/>
  <c r="K26" i="124" s="1"/>
  <c r="I26" i="124"/>
  <c r="J25" i="124"/>
  <c r="K25" i="124" s="1"/>
  <c r="I25" i="124"/>
  <c r="J24" i="124"/>
  <c r="K24" i="124" s="1"/>
  <c r="I24" i="124"/>
  <c r="J64" i="124" l="1"/>
  <c r="K64" i="124"/>
  <c r="J107" i="123" l="1"/>
  <c r="L107" i="123" s="1"/>
  <c r="J61" i="124" l="1"/>
  <c r="I61" i="124"/>
  <c r="J60" i="124"/>
  <c r="I60" i="124"/>
  <c r="J154" i="123"/>
  <c r="I154" i="123"/>
  <c r="J151" i="123"/>
  <c r="I151" i="123"/>
  <c r="I17" i="124"/>
  <c r="J17" i="124"/>
  <c r="I18" i="124"/>
  <c r="J18" i="124"/>
  <c r="I19" i="124"/>
  <c r="J19" i="124"/>
  <c r="I20" i="124"/>
  <c r="J20" i="124"/>
  <c r="I21" i="124"/>
  <c r="J21" i="124"/>
  <c r="I22" i="124"/>
  <c r="J22" i="124"/>
  <c r="I23" i="124"/>
  <c r="J23" i="124"/>
  <c r="I15" i="124"/>
  <c r="J15" i="124"/>
  <c r="I16" i="124"/>
  <c r="J16" i="124"/>
  <c r="I12" i="124"/>
  <c r="J12" i="124"/>
  <c r="I13" i="124"/>
  <c r="J13" i="124"/>
  <c r="J149" i="123"/>
  <c r="I149" i="123"/>
  <c r="J145" i="123"/>
  <c r="I145" i="123"/>
  <c r="J144" i="123"/>
  <c r="I144" i="123"/>
  <c r="J142" i="123"/>
  <c r="I142" i="123"/>
  <c r="J114" i="123"/>
  <c r="I114" i="123"/>
  <c r="J112" i="123"/>
  <c r="I112" i="123"/>
  <c r="I97" i="123"/>
  <c r="J97" i="123"/>
  <c r="I99" i="123"/>
  <c r="J99" i="123"/>
  <c r="I100" i="123"/>
  <c r="J100" i="123"/>
  <c r="I101" i="123"/>
  <c r="J101" i="123"/>
  <c r="I102" i="123"/>
  <c r="J102" i="123"/>
  <c r="I104" i="123"/>
  <c r="J104" i="123"/>
  <c r="I105" i="123"/>
  <c r="J105" i="123"/>
  <c r="I106" i="123"/>
  <c r="J106" i="123"/>
  <c r="I108" i="123"/>
  <c r="J108" i="123"/>
  <c r="I109" i="123"/>
  <c r="J109" i="123"/>
  <c r="J96" i="123"/>
  <c r="I96" i="123"/>
  <c r="J94" i="123"/>
  <c r="I94" i="123"/>
  <c r="J91" i="123"/>
  <c r="I91" i="123"/>
  <c r="J89" i="123"/>
  <c r="I89" i="123"/>
  <c r="I64" i="123"/>
  <c r="J64" i="123"/>
  <c r="I65" i="123"/>
  <c r="J65" i="123"/>
  <c r="I66" i="123"/>
  <c r="J66" i="123"/>
  <c r="I67" i="123"/>
  <c r="J67" i="123"/>
  <c r="I69" i="123"/>
  <c r="J69" i="123"/>
  <c r="I70" i="123"/>
  <c r="J70" i="123"/>
  <c r="I72" i="123"/>
  <c r="J72" i="123"/>
  <c r="J63" i="123"/>
  <c r="I63" i="123"/>
  <c r="J62" i="123"/>
  <c r="I62" i="123"/>
  <c r="J60" i="123"/>
  <c r="I60" i="123"/>
  <c r="J58" i="123"/>
  <c r="I58" i="123"/>
  <c r="J57" i="123"/>
  <c r="I57" i="123"/>
  <c r="J56" i="123"/>
  <c r="I56" i="123"/>
  <c r="J55" i="123"/>
  <c r="I55" i="123"/>
  <c r="J54" i="123"/>
  <c r="I54" i="123"/>
  <c r="J53" i="123"/>
  <c r="I53" i="123"/>
  <c r="J38" i="123"/>
  <c r="I38" i="123"/>
  <c r="J37" i="123"/>
  <c r="I37" i="123"/>
  <c r="J35" i="123"/>
  <c r="I35" i="123"/>
  <c r="J34" i="123"/>
  <c r="I34" i="123"/>
  <c r="J32" i="123"/>
  <c r="I32" i="123"/>
  <c r="J31" i="123"/>
  <c r="I31" i="123"/>
  <c r="J25" i="123"/>
  <c r="I25" i="123"/>
  <c r="J24" i="123"/>
  <c r="I24" i="123"/>
  <c r="J20" i="123"/>
  <c r="I20" i="123"/>
  <c r="J19" i="123"/>
  <c r="I19" i="123"/>
  <c r="J16" i="123"/>
  <c r="I16" i="123"/>
  <c r="I13" i="123"/>
  <c r="J13" i="123"/>
  <c r="I14" i="123"/>
  <c r="J14" i="123"/>
  <c r="J100" i="120" l="1"/>
  <c r="I100" i="120"/>
  <c r="J98" i="120"/>
  <c r="I98" i="120"/>
  <c r="J97" i="120"/>
  <c r="I97" i="120"/>
  <c r="J96" i="120"/>
  <c r="I96" i="120"/>
  <c r="J95" i="120"/>
  <c r="I95" i="120"/>
  <c r="J94" i="120"/>
  <c r="I94" i="120"/>
  <c r="J93" i="120"/>
  <c r="I93" i="120"/>
  <c r="J92" i="120"/>
  <c r="I92" i="120"/>
  <c r="J81" i="120"/>
  <c r="I81" i="120"/>
  <c r="J76" i="120"/>
  <c r="I76" i="120"/>
  <c r="J73" i="120"/>
  <c r="I73" i="120"/>
  <c r="J72" i="120"/>
  <c r="I72" i="120"/>
  <c r="J71" i="120"/>
  <c r="I71" i="120"/>
  <c r="J70" i="120"/>
  <c r="I70" i="120"/>
  <c r="J69" i="120"/>
  <c r="I69" i="120"/>
  <c r="J68" i="120"/>
  <c r="I68" i="120"/>
  <c r="J57" i="120"/>
  <c r="I57" i="120"/>
  <c r="J55" i="120"/>
  <c r="I55" i="120"/>
  <c r="J53" i="120"/>
  <c r="I53" i="120"/>
  <c r="J51" i="120"/>
  <c r="I51" i="120"/>
  <c r="J50" i="120"/>
  <c r="I50" i="120"/>
  <c r="J49" i="120"/>
  <c r="I49" i="120"/>
  <c r="J48" i="120"/>
  <c r="I48" i="120"/>
  <c r="J46" i="120"/>
  <c r="I46" i="120"/>
  <c r="J45" i="120"/>
  <c r="I45" i="120"/>
  <c r="J33" i="120"/>
  <c r="I33" i="120"/>
  <c r="J31" i="120"/>
  <c r="I31" i="120"/>
  <c r="J29" i="120"/>
  <c r="I29" i="120"/>
  <c r="J27" i="120"/>
  <c r="I27" i="120"/>
  <c r="J26" i="120"/>
  <c r="I26" i="120"/>
  <c r="J25" i="120"/>
  <c r="I25" i="120"/>
  <c r="J23" i="120"/>
  <c r="I23" i="120"/>
  <c r="J21" i="120"/>
  <c r="I21" i="120"/>
  <c r="J19" i="120"/>
  <c r="I19" i="120"/>
  <c r="J17" i="120"/>
  <c r="I17" i="120"/>
  <c r="J16" i="120"/>
  <c r="I16" i="120"/>
  <c r="J14" i="120"/>
  <c r="I14" i="120"/>
  <c r="J13" i="120"/>
  <c r="I13" i="120"/>
  <c r="J12" i="120"/>
  <c r="I12" i="120"/>
  <c r="J101" i="120"/>
  <c r="I101" i="120"/>
  <c r="J56" i="120"/>
  <c r="I56" i="120"/>
  <c r="G34" i="120"/>
  <c r="C12" i="130"/>
  <c r="J104" i="120" l="1"/>
  <c r="I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K22" i="124" l="1"/>
  <c r="H139" i="123"/>
  <c r="H140" i="123"/>
  <c r="H131" i="123"/>
  <c r="H132" i="123"/>
  <c r="H133" i="123"/>
  <c r="H134" i="123"/>
  <c r="H135" i="123"/>
  <c r="H136" i="123"/>
  <c r="H137" i="123"/>
  <c r="K19" i="124"/>
  <c r="H11" i="124"/>
  <c r="H34" i="120"/>
  <c r="H58" i="120"/>
  <c r="G58" i="120"/>
  <c r="H82" i="120"/>
  <c r="G82" i="120"/>
  <c r="H105" i="120"/>
  <c r="G105" i="120"/>
  <c r="G39" i="124"/>
  <c r="O27" i="124"/>
  <c r="O28" i="124"/>
  <c r="O24" i="124"/>
  <c r="O25" i="124" s="1"/>
  <c r="O29" i="124" s="1"/>
  <c r="G79" i="123"/>
  <c r="H78" i="123"/>
  <c r="L65" i="123"/>
  <c r="L96" i="123"/>
  <c r="L97" i="123"/>
  <c r="H98" i="123"/>
  <c r="H12" i="125"/>
  <c r="H13" i="125"/>
  <c r="H20" i="125"/>
  <c r="F20" i="125"/>
  <c r="G20" i="125"/>
  <c r="P11" i="124"/>
  <c r="K12" i="124"/>
  <c r="Q12" i="124" s="1"/>
  <c r="P12" i="124"/>
  <c r="K13" i="124"/>
  <c r="H14" i="124"/>
  <c r="P14" i="124"/>
  <c r="K15" i="124"/>
  <c r="K16" i="124"/>
  <c r="P16" i="124"/>
  <c r="K17" i="124"/>
  <c r="P17" i="124"/>
  <c r="K18" i="124"/>
  <c r="P18" i="124"/>
  <c r="P19" i="124"/>
  <c r="K20" i="124"/>
  <c r="P20" i="124"/>
  <c r="K21" i="124"/>
  <c r="K23" i="124"/>
  <c r="P59" i="124"/>
  <c r="K60" i="124"/>
  <c r="K61" i="124"/>
  <c r="P61" i="124"/>
  <c r="H62" i="124"/>
  <c r="P62" i="124"/>
  <c r="H63" i="124"/>
  <c r="H66" i="124" s="1"/>
  <c r="P63" i="124"/>
  <c r="G66" i="124"/>
  <c r="H12" i="123"/>
  <c r="L13" i="123"/>
  <c r="L14" i="123"/>
  <c r="L16" i="123"/>
  <c r="L19" i="123"/>
  <c r="L20" i="123"/>
  <c r="L23" i="123"/>
  <c r="L24" i="123"/>
  <c r="L25" i="123"/>
  <c r="H27" i="123"/>
  <c r="H30" i="123"/>
  <c r="L31" i="123"/>
  <c r="L32" i="123"/>
  <c r="L34" i="123"/>
  <c r="L35" i="123"/>
  <c r="L37" i="123"/>
  <c r="L38" i="123"/>
  <c r="H41" i="123"/>
  <c r="L42" i="123"/>
  <c r="G43" i="123"/>
  <c r="K43" i="123"/>
  <c r="L53" i="123"/>
  <c r="L54" i="123"/>
  <c r="L55" i="123"/>
  <c r="L56" i="123"/>
  <c r="L57" i="123"/>
  <c r="L58" i="123"/>
  <c r="H59" i="123"/>
  <c r="L60" i="123"/>
  <c r="H61" i="123"/>
  <c r="L62" i="123"/>
  <c r="L63" i="123"/>
  <c r="L64" i="123"/>
  <c r="L66" i="123"/>
  <c r="L67" i="123"/>
  <c r="H68" i="123"/>
  <c r="L69" i="123"/>
  <c r="L70" i="123"/>
  <c r="H71" i="123"/>
  <c r="L72" i="123"/>
  <c r="H73" i="123"/>
  <c r="H74" i="123"/>
  <c r="L89" i="123"/>
  <c r="L91" i="123"/>
  <c r="L94" i="123"/>
  <c r="L99" i="123"/>
  <c r="L100" i="123"/>
  <c r="L101" i="123"/>
  <c r="L104" i="123"/>
  <c r="L105" i="123"/>
  <c r="L106" i="123"/>
  <c r="L108" i="123"/>
  <c r="L109" i="123"/>
  <c r="L112" i="123"/>
  <c r="L114" i="123"/>
  <c r="G115" i="123"/>
  <c r="H129" i="123"/>
  <c r="H138" i="123"/>
  <c r="L142" i="123"/>
  <c r="L144" i="123"/>
  <c r="L145" i="123"/>
  <c r="L149" i="123"/>
  <c r="L151" i="123"/>
  <c r="H152" i="123"/>
  <c r="L154" i="123"/>
  <c r="K155" i="123"/>
  <c r="G157" i="123"/>
  <c r="L12" i="120"/>
  <c r="L13" i="120"/>
  <c r="L14" i="120"/>
  <c r="L16" i="120"/>
  <c r="L17" i="120"/>
  <c r="L19" i="120"/>
  <c r="L21" i="120"/>
  <c r="L23" i="120"/>
  <c r="L25" i="120"/>
  <c r="L26" i="120"/>
  <c r="L27" i="120"/>
  <c r="L29" i="120"/>
  <c r="L31" i="120"/>
  <c r="L33" i="120"/>
  <c r="L45" i="120"/>
  <c r="L46" i="120"/>
  <c r="L48" i="120"/>
  <c r="L49" i="120"/>
  <c r="L50" i="120"/>
  <c r="L51" i="120"/>
  <c r="L53" i="120"/>
  <c r="L55" i="120"/>
  <c r="L56" i="120"/>
  <c r="L57" i="120"/>
  <c r="L68" i="120"/>
  <c r="L69" i="120"/>
  <c r="L70" i="120"/>
  <c r="L71" i="120"/>
  <c r="L72" i="120"/>
  <c r="L73" i="120"/>
  <c r="U74" i="120"/>
  <c r="L76" i="120"/>
  <c r="L78" i="120"/>
  <c r="L81" i="120"/>
  <c r="L92" i="120"/>
  <c r="L93" i="120"/>
  <c r="L94" i="120"/>
  <c r="L95" i="120"/>
  <c r="L96" i="120"/>
  <c r="L97" i="120"/>
  <c r="L98" i="120"/>
  <c r="L100" i="120"/>
  <c r="L101" i="120"/>
  <c r="K104" i="120"/>
  <c r="F12" i="126"/>
  <c r="F13" i="126"/>
  <c r="F14" i="126"/>
  <c r="F15" i="126"/>
  <c r="F16" i="126"/>
  <c r="F17" i="126"/>
  <c r="F18" i="126"/>
  <c r="F19" i="126"/>
  <c r="F20" i="126"/>
  <c r="F21" i="126"/>
  <c r="E24" i="126"/>
  <c r="G24" i="126"/>
  <c r="I24" i="126"/>
  <c r="F24" i="126"/>
  <c r="P39" i="124" l="1"/>
  <c r="J21" i="126"/>
  <c r="H21" i="126"/>
  <c r="H19" i="126"/>
  <c r="J19" i="126"/>
  <c r="H17" i="126"/>
  <c r="J17" i="126"/>
  <c r="H15" i="126"/>
  <c r="J15" i="126"/>
  <c r="J13" i="126"/>
  <c r="H13" i="126"/>
  <c r="J20" i="126"/>
  <c r="K20" i="126" s="1"/>
  <c r="H20" i="126"/>
  <c r="H18" i="126"/>
  <c r="J18" i="126"/>
  <c r="K18" i="126" s="1"/>
  <c r="J16" i="126"/>
  <c r="K16" i="126" s="1"/>
  <c r="H16" i="126"/>
  <c r="H12" i="126"/>
  <c r="J12" i="126"/>
  <c r="J14" i="126"/>
  <c r="K14" i="126" s="1"/>
  <c r="H14" i="126"/>
  <c r="K21" i="126"/>
  <c r="K19" i="126"/>
  <c r="K17" i="126"/>
  <c r="K15" i="126"/>
  <c r="K13" i="126"/>
  <c r="H104" i="120"/>
  <c r="L104" i="120"/>
  <c r="G104" i="120"/>
  <c r="J11" i="124"/>
  <c r="I11" i="124"/>
  <c r="K11" i="124"/>
  <c r="Q11" i="124" s="1"/>
  <c r="J63" i="124"/>
  <c r="K63" i="124" s="1"/>
  <c r="I63" i="124"/>
  <c r="H39" i="124"/>
  <c r="J62" i="124"/>
  <c r="I62" i="124"/>
  <c r="I14" i="124"/>
  <c r="J14" i="124"/>
  <c r="K14" i="124" s="1"/>
  <c r="I73" i="123"/>
  <c r="J73" i="123"/>
  <c r="J61" i="123"/>
  <c r="I61" i="123"/>
  <c r="J78" i="123"/>
  <c r="I78" i="123"/>
  <c r="I137" i="123"/>
  <c r="J137" i="123"/>
  <c r="I134" i="123"/>
  <c r="J134" i="123"/>
  <c r="J131" i="123"/>
  <c r="I131" i="123"/>
  <c r="J152" i="123"/>
  <c r="I152" i="123"/>
  <c r="J129" i="123"/>
  <c r="I129" i="123"/>
  <c r="I68" i="123"/>
  <c r="J68" i="123"/>
  <c r="J30" i="123"/>
  <c r="I30" i="123"/>
  <c r="J12" i="123"/>
  <c r="I12" i="123"/>
  <c r="I98" i="123"/>
  <c r="I115" i="123" s="1"/>
  <c r="J98" i="123"/>
  <c r="J115" i="123" s="1"/>
  <c r="I133" i="123"/>
  <c r="J133" i="123"/>
  <c r="G158" i="123"/>
  <c r="I71" i="123"/>
  <c r="J71" i="123"/>
  <c r="J59" i="123"/>
  <c r="I59" i="123"/>
  <c r="J41" i="123"/>
  <c r="I41" i="123"/>
  <c r="L41" i="123" s="1"/>
  <c r="I136" i="123"/>
  <c r="J136" i="123"/>
  <c r="I140" i="123"/>
  <c r="J140" i="123"/>
  <c r="I138" i="123"/>
  <c r="L138" i="123" s="1"/>
  <c r="J138" i="123"/>
  <c r="I74" i="123"/>
  <c r="J74" i="123"/>
  <c r="J27" i="123"/>
  <c r="I27" i="123"/>
  <c r="I135" i="123"/>
  <c r="J135" i="123"/>
  <c r="I132" i="123"/>
  <c r="J132" i="123"/>
  <c r="I139" i="123"/>
  <c r="J139" i="123"/>
  <c r="H115" i="123"/>
  <c r="G155" i="123"/>
  <c r="H157" i="123"/>
  <c r="H43" i="123"/>
  <c r="H79" i="123"/>
  <c r="I66" i="124" l="1"/>
  <c r="H24" i="126"/>
  <c r="J24" i="126"/>
  <c r="K12" i="126"/>
  <c r="K24" i="126" s="1"/>
  <c r="L136" i="123"/>
  <c r="L98" i="123"/>
  <c r="L115" i="123" s="1"/>
  <c r="L131" i="123"/>
  <c r="I79" i="123"/>
  <c r="L134" i="123"/>
  <c r="L139" i="123"/>
  <c r="L133" i="123"/>
  <c r="L137" i="123"/>
  <c r="L68" i="123"/>
  <c r="L59" i="123"/>
  <c r="L71" i="123"/>
  <c r="L61" i="123"/>
  <c r="L73" i="123"/>
  <c r="L27" i="123"/>
  <c r="L30" i="123"/>
  <c r="L152" i="123"/>
  <c r="L78" i="123"/>
  <c r="I39" i="124"/>
  <c r="J66" i="124"/>
  <c r="K62" i="124"/>
  <c r="K66" i="124" s="1"/>
  <c r="K39" i="124"/>
  <c r="J39" i="124"/>
  <c r="L132" i="123"/>
  <c r="L74" i="123"/>
  <c r="I43" i="123"/>
  <c r="L12" i="123"/>
  <c r="I157" i="123"/>
  <c r="J79" i="123"/>
  <c r="L140" i="123"/>
  <c r="J43" i="123"/>
  <c r="J157" i="123"/>
  <c r="L135" i="123"/>
  <c r="L129" i="123"/>
  <c r="H155" i="123"/>
  <c r="H158" i="123"/>
  <c r="L43" i="123" l="1"/>
  <c r="L79" i="123"/>
  <c r="L167" i="123"/>
  <c r="L157" i="123"/>
  <c r="J155" i="123"/>
  <c r="J158" i="123"/>
  <c r="J159" i="123"/>
  <c r="I159" i="123"/>
  <c r="I158" i="123"/>
  <c r="I155" i="123"/>
  <c r="J170" i="123" l="1"/>
  <c r="L155" i="123"/>
</calcChain>
</file>

<file path=xl/sharedStrings.xml><?xml version="1.0" encoding="utf-8"?>
<sst xmlns="http://schemas.openxmlformats.org/spreadsheetml/2006/main" count="645" uniqueCount="339">
  <si>
    <t>P E R C E P C I O N E S</t>
  </si>
  <si>
    <t>Sueldo</t>
  </si>
  <si>
    <t>Total</t>
  </si>
  <si>
    <t>Dias</t>
  </si>
  <si>
    <t>Trab.</t>
  </si>
  <si>
    <t>T O T A L E S</t>
  </si>
  <si>
    <t>Quincenal</t>
  </si>
  <si>
    <t>LA PLAZA</t>
  </si>
  <si>
    <t xml:space="preserve">NOMBRE DE </t>
  </si>
  <si>
    <t xml:space="preserve">       PRESIDENTE MUNICIPAL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</si>
  <si>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</si>
  <si>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</si>
  <si>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</si>
  <si>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</si>
  <si>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</si>
  <si>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</si>
  <si>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</si>
  <si>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</si>
  <si>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</si>
  <si>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</si>
  <si>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</si>
  <si>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</si>
  <si>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</si>
  <si>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</si>
  <si>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</si>
  <si>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</si>
  <si>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</si>
  <si>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</si>
  <si>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</si>
  <si>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</si>
  <si>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</si>
  <si>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</si>
  <si>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</si>
  <si>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</si>
  <si>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</si>
  <si>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</si>
  <si>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</si>
  <si>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</si>
  <si>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</si>
  <si>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</si>
  <si>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</si>
  <si>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</si>
  <si>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</si>
  <si>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</si>
  <si>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</si>
  <si>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</si>
  <si>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</si>
  <si>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</si>
  <si>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</si>
  <si>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</si>
  <si>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</si>
  <si>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</si>
  <si>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</si>
  <si>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</si>
  <si>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</si>
  <si>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</si>
  <si>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</si>
  <si>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</si>
  <si>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</si>
  <si>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</si>
  <si>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</si>
  <si>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</si>
  <si>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</si>
  <si>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</si>
  <si>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</si>
  <si>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</si>
  <si>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</si>
  <si>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</si>
  <si>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</si>
  <si>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</si>
  <si>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</si>
  <si>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</si>
  <si>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</si>
  <si>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</si>
  <si>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</si>
  <si>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</si>
  <si>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</si>
  <si>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</si>
  <si>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</si>
  <si>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</si>
  <si>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</si>
  <si>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</si>
  <si>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</si>
  <si>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</si>
  <si>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</si>
  <si>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</si>
  <si>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</si>
  <si>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</si>
  <si>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</si>
  <si>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</si>
  <si>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</si>
  <si>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</si>
  <si>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</si>
  <si>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</si>
  <si>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</si>
  <si>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</si>
  <si>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</si>
  <si>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</si>
  <si>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</si>
  <si>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</si>
  <si>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</si>
  <si>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</si>
  <si>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</si>
  <si>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</si>
  <si>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</si>
  <si>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</si>
  <si>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</si>
  <si>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</si>
  <si>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</si>
  <si>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</si>
  <si>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</si>
  <si>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</si>
  <si>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</si>
  <si>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</si>
  <si>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</si>
  <si>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</si>
  <si>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</si>
  <si>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</si>
  <si>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</si>
  <si>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</si>
  <si>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</si>
  <si>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</si>
  <si>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</si>
  <si>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</si>
  <si>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</si>
  <si>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</si>
  <si>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</si>
  <si>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</si>
  <si>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</si>
  <si>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</si>
  <si>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</si>
  <si>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</si>
  <si>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</si>
  <si>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</si>
  <si>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</si>
  <si>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</si>
  <si>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</si>
  <si>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</si>
  <si>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</si>
  <si>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</si>
  <si>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</si>
  <si>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</si>
  <si>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</si>
  <si>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</si>
  <si>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</si>
  <si>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</si>
  <si>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</si>
  <si>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</si>
  <si>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</si>
  <si>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</si>
  <si>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</si>
  <si>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</si>
  <si>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>TOTAL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</si>
  <si>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</si>
  <si>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</si>
  <si>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</si>
  <si>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</si>
  <si>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</si>
  <si>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</si>
  <si>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</si>
  <si>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</si>
  <si>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</si>
  <si>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</si>
  <si>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</si>
  <si>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</si>
  <si>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</si>
  <si>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</si>
  <si>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</si>
  <si>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</si>
  <si>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</si>
  <si>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</si>
  <si>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</si>
  <si>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</si>
  <si>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</si>
  <si>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</si>
  <si>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</si>
  <si>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</si>
  <si>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</si>
  <si>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</si>
  <si>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</si>
  <si>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</si>
  <si>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</si>
  <si>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</si>
  <si>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</si>
  <si>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</si>
  <si>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</si>
  <si>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</si>
  <si>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</si>
  <si>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</si>
  <si>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</si>
  <si>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</si>
  <si>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</si>
  <si>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</si>
  <si>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</si>
  <si>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</si>
  <si>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</si>
  <si>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</si>
  <si>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</si>
  <si>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</si>
  <si>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</si>
  <si>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</si>
  <si>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</si>
  <si>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</si>
  <si>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</si>
  <si>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</si>
  <si>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</si>
  <si>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</si>
  <si>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</si>
  <si>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</si>
  <si>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</si>
  <si>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</si>
  <si>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</si>
  <si>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</si>
  <si>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</si>
  <si>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</si>
  <si>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</si>
  <si>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</si>
  <si>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</si>
  <si>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</si>
  <si>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</si>
  <si>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</si>
  <si>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</si>
  <si>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</si>
  <si>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</si>
  <si>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</si>
  <si>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</si>
  <si>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</si>
  <si>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</si>
  <si>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</si>
  <si>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</si>
  <si>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</si>
  <si>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</si>
  <si>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</si>
  <si>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</si>
  <si>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</si>
  <si>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</si>
  <si>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</si>
  <si>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</si>
  <si>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</si>
  <si>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</si>
  <si>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</si>
  <si>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</si>
  <si>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</si>
  <si>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</si>
  <si>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</si>
  <si>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</si>
  <si>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</si>
  <si>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</si>
  <si>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</si>
  <si>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</si>
  <si>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</si>
  <si>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</si>
  <si>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</si>
  <si>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</si>
  <si>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</si>
  <si>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</si>
  <si>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</si>
  <si>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</si>
  <si>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</si>
  <si>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</si>
  <si>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</si>
  <si>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</si>
  <si>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</si>
  <si>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</si>
  <si>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</si>
  <si>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</si>
  <si>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</si>
  <si>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</si>
  <si>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</si>
  <si>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</si>
  <si>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</si>
  <si>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</si>
  <si>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</si>
  <si>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</si>
  <si>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</si>
  <si>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</si>
  <si>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</si>
  <si>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</si>
  <si>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ENC. DE BASURERO</t>
  </si>
  <si>
    <t>GARCIA GAMBOA MARIA DE JESUS</t>
  </si>
  <si>
    <t>MONTES DOMINGUEZ FILIBERTO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</si>
  <si>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</si>
  <si>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</si>
  <si>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</si>
  <si>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</si>
  <si>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</si>
  <si>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</si>
  <si>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</si>
  <si>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</si>
  <si>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</si>
  <si>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</si>
  <si>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</si>
  <si>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</si>
  <si>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</si>
  <si>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</si>
  <si>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</si>
  <si>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</si>
  <si>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</si>
  <si>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</si>
  <si>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</si>
  <si>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</si>
  <si>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</si>
  <si>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</si>
  <si>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</si>
  <si>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</si>
  <si>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</si>
  <si>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</si>
  <si>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</si>
  <si>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</si>
  <si>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</si>
  <si>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</si>
  <si>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</si>
  <si>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</si>
  <si>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</si>
  <si>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</si>
  <si>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</si>
  <si>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</si>
  <si>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</si>
  <si>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</si>
  <si>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</si>
  <si>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</si>
  <si>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</si>
  <si>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</si>
  <si>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</si>
  <si>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</si>
  <si>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</si>
  <si>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</si>
  <si>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LOPEZ MEDINA JOSE CARLOS</t>
  </si>
  <si>
    <t>OPERADOR DE MOTOCONFORMADORA</t>
  </si>
  <si>
    <t>OPERADOR DE RETROEXAVADORA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</si>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</sst>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447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4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6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7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4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4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4" xfId="0" applyFont="1" applyBorder="1" applyAlignment="1" applyProtection="1">
      <alignment horizontal="left" wrapText="1"/>
      <protection locked="0"/>
    </xf>
    <xf numFmtId="0" fontId="20" fillId="0" borderId="34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4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5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3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5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6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7" xfId="0" applyFont="1" applyBorder="1" applyProtection="1">
      <protection hidden="1"/>
    </xf>
    <xf numFmtId="0" fontId="17" fillId="0" borderId="46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0" xfId="6" applyNumberFormat="1" applyFont="1" applyBorder="1" applyProtection="1"/>
    <xf numFmtId="168" fontId="6" fillId="0" borderId="51" xfId="6" applyNumberFormat="1" applyFont="1" applyBorder="1" applyProtection="1"/>
    <xf numFmtId="167" fontId="39" fillId="8" borderId="52" xfId="5" applyFont="1" applyFill="1" applyBorder="1" applyProtection="1"/>
    <xf numFmtId="43" fontId="39" fillId="8" borderId="53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2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3" fontId="17" fillId="0" borderId="2" xfId="2" applyFont="1" applyFill="1" applyBorder="1" applyAlignment="1" applyProtection="1">
      <alignment horizontal="right"/>
      <protection hidden="1"/>
    </xf>
    <xf numFmtId="0" fontId="2" fillId="0" borderId="49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0" fontId="2" fillId="0" borderId="26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8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48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113</v>
      </c>
    </row>
    <row r="4" spans="1:1" x14ac:dyDescent="0.2">
      <c r="A4" s="36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N42"/>
  <sheetViews>
    <sheetView tabSelected="1" workbookViewId="0">
      <selection activeCell="B1" sqref="B1:C1048576"/>
    </sheetView>
  </sheetViews>
  <sheetFormatPr baseColWidth="10" defaultRowHeight="12.75" x14ac:dyDescent="0.2"/>
  <cols>
    <col min="1" max="1" width="5.85546875" style="15" customWidth="1"/>
    <col min="2" max="2" width="36.5703125" style="15" customWidth="1"/>
    <col min="3" max="3" width="12.28515625" style="15" customWidth="1"/>
    <col min="4" max="4" width="5.5703125" style="15" customWidth="1"/>
    <col min="5" max="5" width="13.140625" style="15" customWidth="1"/>
    <col min="6" max="6" width="13.5703125" style="15" bestFit="1" customWidth="1"/>
    <col min="7" max="7" width="11.85546875" style="15" hidden="1" customWidth="1"/>
    <col min="8" max="8" width="11.85546875" style="15" bestFit="1" customWidth="1"/>
    <col min="9" max="9" width="10.85546875" style="15" hidden="1" customWidth="1"/>
    <col min="10" max="10" width="11" style="15" customWidth="1"/>
    <col min="11" max="11" width="13.5703125" style="15" bestFit="1" customWidth="1"/>
    <col min="12" max="12" width="65.85546875" style="15" customWidth="1"/>
    <col min="13" max="16384" width="11.42578125" style="15"/>
  </cols>
  <sheetData>
    <row r="1" spans="2:14" ht="5.25" customHeight="1" x14ac:dyDescent="0.2"/>
    <row r="2" spans="2:14" ht="5.25" customHeight="1" x14ac:dyDescent="0.2"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2:14" ht="22.5" x14ac:dyDescent="0.45"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4"/>
    </row>
    <row r="4" spans="2:14" ht="22.5" x14ac:dyDescent="0.45"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8"/>
    </row>
    <row r="5" spans="2:14" ht="19.5" x14ac:dyDescent="0.4"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6"/>
    </row>
    <row r="6" spans="2:14" ht="15" x14ac:dyDescent="0.2">
      <c r="B6" s="399"/>
      <c r="C6" s="399"/>
      <c r="D6" s="399"/>
      <c r="E6" s="399"/>
      <c r="F6" s="399"/>
      <c r="G6" s="399"/>
      <c r="H6" s="399"/>
      <c r="I6" s="399"/>
      <c r="J6" s="399"/>
      <c r="K6" s="400"/>
      <c r="L6" s="127"/>
    </row>
    <row r="7" spans="2:14" x14ac:dyDescent="0.2">
      <c r="B7" s="90"/>
      <c r="C7" s="90"/>
      <c r="D7" s="91" t="s">
        <v>3</v>
      </c>
      <c r="E7" s="91"/>
      <c r="F7" s="92"/>
      <c r="G7" s="401"/>
      <c r="H7" s="402"/>
      <c r="I7" s="402"/>
      <c r="J7" s="402"/>
      <c r="K7" s="402"/>
      <c r="L7" s="93"/>
    </row>
    <row r="8" spans="2:14" ht="12.75" customHeight="1" x14ac:dyDescent="0.2">
      <c r="B8" s="91"/>
      <c r="C8" s="91"/>
      <c r="D8" s="94" t="s">
        <v>4</v>
      </c>
      <c r="E8" s="95" t="s">
        <v>1</v>
      </c>
      <c r="F8" s="96" t="s">
        <v>152</v>
      </c>
      <c r="G8" s="96"/>
      <c r="H8" s="96" t="s">
        <v>155</v>
      </c>
      <c r="I8" s="96" t="s">
        <v>148</v>
      </c>
      <c r="J8" s="96"/>
      <c r="K8" s="96" t="s">
        <v>2</v>
      </c>
      <c r="L8" s="96"/>
    </row>
    <row r="9" spans="2:14" ht="15" x14ac:dyDescent="0.25">
      <c r="B9" s="97"/>
      <c r="C9" s="101" t="s">
        <v>8</v>
      </c>
      <c r="D9" s="91"/>
      <c r="E9" s="91" t="s">
        <v>153</v>
      </c>
      <c r="F9" s="95" t="s">
        <v>154</v>
      </c>
      <c r="G9" s="96" t="s">
        <v>147</v>
      </c>
      <c r="H9" s="95" t="s">
        <v>156</v>
      </c>
      <c r="I9" s="95" t="s">
        <v>149</v>
      </c>
      <c r="J9" s="95" t="s">
        <v>157</v>
      </c>
      <c r="K9" s="95" t="s">
        <v>150</v>
      </c>
      <c r="L9" s="96" t="s">
        <v>158</v>
      </c>
    </row>
    <row r="10" spans="2:14" ht="15" x14ac:dyDescent="0.25">
      <c r="B10" s="98" t="s">
        <v>95</v>
      </c>
      <c r="C10" s="102" t="s">
        <v>7</v>
      </c>
      <c r="D10" s="96"/>
      <c r="E10" s="96"/>
      <c r="F10" s="96"/>
      <c r="G10" s="96"/>
      <c r="H10" s="96"/>
      <c r="I10" s="96"/>
      <c r="J10" s="96"/>
      <c r="K10" s="96"/>
      <c r="L10" s="96"/>
    </row>
    <row r="11" spans="2:14" ht="15" x14ac:dyDescent="0.25"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53"/>
    </row>
    <row r="12" spans="2:14" ht="35.1" customHeight="1" x14ac:dyDescent="0.2">
      <c r="B12" s="4" t="s">
        <v>180</v>
      </c>
      <c r="C12" s="4" t="s">
        <v>72</v>
      </c>
      <c r="D12" s="5">
        <v>15</v>
      </c>
      <c r="E12" s="19">
        <v>10177</v>
      </c>
      <c r="F12" s="19">
        <f>E12</f>
        <v>10177</v>
      </c>
      <c r="G12" s="19"/>
      <c r="H12" s="19">
        <f t="shared" ref="H12:H21" si="0">IF(ROUND((((F12/D12*30.4)-VLOOKUP((F12/D12*30.4),TARIFA,1))*VLOOKUP((F12/D12*30.4),TARIFA,3)+VLOOKUP((F12/D12*30.4),TARIFA,2)-VLOOKUP((F12/D12*30.4),SUBSIDIO,2))/30.4*D12,2)&lt;0,ROUND(-(((F12/D12*30.4)-VLOOKUP((F12/D12*30.4),TARIFA,1))*VLOOKUP((F12/D12*30.4),TARIFA,3)+VLOOKUP((F12/D12*30.4),TARIFA,2)-VLOOKUP((F12/D12*30.4),SUBSIDIO,2))/30.4*D12,2),0)</f>
        <v>0</v>
      </c>
      <c r="I12" s="331"/>
      <c r="J12" s="19">
        <f t="shared" ref="J12:J21" si="1">IF(ROUND((((F12/D12*30.4)-VLOOKUP((F12/D12*30.4),TARIFA,1))*VLOOKUP((F12/D12*30.4),TARIFA,3)+VLOOKUP((F12/D12*30.4),TARIFA,2)-VLOOKUP((F12/D12*30.4),SUBSIDIO,2))/30.4*D12,2)&gt;0,ROUND((((F12/D12*30.4)-VLOOKUP((F12/D12*30.4),TARIFA,1))*VLOOKUP((F12/D12*30.4),TARIFA,3)+VLOOKUP((F12/D12*30.4),TARIFA,2)-VLOOKUP((F12/D12*30.4),SUBSIDIO,2))/30.4*D12,2),0)</f>
        <v>1535.59</v>
      </c>
      <c r="K12" s="19">
        <f>F12-J12</f>
        <v>8641.41</v>
      </c>
      <c r="L12" s="53"/>
      <c r="M12" s="51"/>
      <c r="N12" s="52"/>
    </row>
    <row r="13" spans="2:14" ht="35.1" customHeight="1" x14ac:dyDescent="0.2">
      <c r="B13" s="4" t="s">
        <v>181</v>
      </c>
      <c r="C13" s="4" t="s">
        <v>72</v>
      </c>
      <c r="D13" s="5">
        <v>15</v>
      </c>
      <c r="E13" s="19">
        <v>10177</v>
      </c>
      <c r="F13" s="19">
        <f t="shared" ref="F13:F21" si="2">E13</f>
        <v>10177</v>
      </c>
      <c r="G13" s="19"/>
      <c r="H13" s="19">
        <f t="shared" si="0"/>
        <v>0</v>
      </c>
      <c r="I13" s="331"/>
      <c r="J13" s="19">
        <f t="shared" si="1"/>
        <v>1535.59</v>
      </c>
      <c r="K13" s="19">
        <f t="shared" ref="K13:K21" si="3">F13-J13</f>
        <v>8641.41</v>
      </c>
      <c r="L13" s="53"/>
      <c r="M13" s="51"/>
      <c r="N13" s="52"/>
    </row>
    <row r="14" spans="2:14" ht="35.1" customHeight="1" x14ac:dyDescent="0.2">
      <c r="B14" s="4" t="s">
        <v>182</v>
      </c>
      <c r="C14" s="4" t="s">
        <v>72</v>
      </c>
      <c r="D14" s="5">
        <v>15</v>
      </c>
      <c r="E14" s="19">
        <v>10177</v>
      </c>
      <c r="F14" s="19">
        <f t="shared" si="2"/>
        <v>10177</v>
      </c>
      <c r="G14" s="19"/>
      <c r="H14" s="19">
        <f t="shared" si="0"/>
        <v>0</v>
      </c>
      <c r="I14" s="331"/>
      <c r="J14" s="19">
        <f t="shared" si="1"/>
        <v>1535.59</v>
      </c>
      <c r="K14" s="19">
        <f t="shared" si="3"/>
        <v>8641.41</v>
      </c>
      <c r="L14" s="53"/>
      <c r="M14" s="51"/>
      <c r="N14" s="52"/>
    </row>
    <row r="15" spans="2:14" ht="35.1" customHeight="1" x14ac:dyDescent="0.2">
      <c r="B15" s="4" t="s">
        <v>183</v>
      </c>
      <c r="C15" s="4" t="s">
        <v>72</v>
      </c>
      <c r="D15" s="5">
        <v>15</v>
      </c>
      <c r="E15" s="19">
        <v>10177</v>
      </c>
      <c r="F15" s="19">
        <f t="shared" si="2"/>
        <v>10177</v>
      </c>
      <c r="G15" s="19"/>
      <c r="H15" s="19">
        <f t="shared" si="0"/>
        <v>0</v>
      </c>
      <c r="I15" s="331"/>
      <c r="J15" s="19">
        <f t="shared" si="1"/>
        <v>1535.59</v>
      </c>
      <c r="K15" s="19">
        <f t="shared" si="3"/>
        <v>8641.41</v>
      </c>
      <c r="L15" s="53"/>
      <c r="M15" s="51"/>
      <c r="N15" s="52"/>
    </row>
    <row r="16" spans="2:14" ht="35.1" customHeight="1" x14ac:dyDescent="0.2">
      <c r="B16" s="4" t="s">
        <v>184</v>
      </c>
      <c r="C16" s="4" t="s">
        <v>72</v>
      </c>
      <c r="D16" s="5">
        <v>15</v>
      </c>
      <c r="E16" s="19">
        <v>10177</v>
      </c>
      <c r="F16" s="19">
        <f t="shared" si="2"/>
        <v>10177</v>
      </c>
      <c r="G16" s="19"/>
      <c r="H16" s="19">
        <f t="shared" si="0"/>
        <v>0</v>
      </c>
      <c r="I16" s="331"/>
      <c r="J16" s="19">
        <f t="shared" si="1"/>
        <v>1535.59</v>
      </c>
      <c r="K16" s="19">
        <f t="shared" si="3"/>
        <v>8641.41</v>
      </c>
      <c r="L16" s="53"/>
      <c r="M16" s="51"/>
      <c r="N16" s="52"/>
    </row>
    <row r="17" spans="2:14" ht="35.1" customHeight="1" x14ac:dyDescent="0.2">
      <c r="B17" s="4" t="s">
        <v>185</v>
      </c>
      <c r="C17" s="4" t="s">
        <v>72</v>
      </c>
      <c r="D17" s="5">
        <v>15</v>
      </c>
      <c r="E17" s="19">
        <v>10177</v>
      </c>
      <c r="F17" s="19">
        <f t="shared" si="2"/>
        <v>10177</v>
      </c>
      <c r="G17" s="19"/>
      <c r="H17" s="19">
        <f t="shared" si="0"/>
        <v>0</v>
      </c>
      <c r="I17" s="331"/>
      <c r="J17" s="19">
        <f t="shared" si="1"/>
        <v>1535.59</v>
      </c>
      <c r="K17" s="19">
        <f t="shared" si="3"/>
        <v>8641.41</v>
      </c>
      <c r="L17" s="53"/>
      <c r="M17" s="51"/>
      <c r="N17" s="52"/>
    </row>
    <row r="18" spans="2:14" ht="35.1" customHeight="1" x14ac:dyDescent="0.2">
      <c r="B18" s="4" t="s">
        <v>186</v>
      </c>
      <c r="C18" s="4" t="s">
        <v>72</v>
      </c>
      <c r="D18" s="5">
        <v>15</v>
      </c>
      <c r="E18" s="19">
        <v>10177</v>
      </c>
      <c r="F18" s="19">
        <f t="shared" si="2"/>
        <v>10177</v>
      </c>
      <c r="G18" s="19"/>
      <c r="H18" s="19">
        <f t="shared" si="0"/>
        <v>0</v>
      </c>
      <c r="I18" s="331"/>
      <c r="J18" s="19">
        <f t="shared" si="1"/>
        <v>1535.59</v>
      </c>
      <c r="K18" s="19">
        <f t="shared" si="3"/>
        <v>8641.41</v>
      </c>
      <c r="L18" s="53"/>
      <c r="M18" s="51"/>
      <c r="N18" s="52"/>
    </row>
    <row r="19" spans="2:14" ht="35.1" customHeight="1" x14ac:dyDescent="0.2">
      <c r="B19" s="4" t="s">
        <v>123</v>
      </c>
      <c r="C19" s="4" t="s">
        <v>72</v>
      </c>
      <c r="D19" s="5">
        <v>15</v>
      </c>
      <c r="E19" s="19">
        <v>10177</v>
      </c>
      <c r="F19" s="19">
        <f t="shared" si="2"/>
        <v>10177</v>
      </c>
      <c r="G19" s="19"/>
      <c r="H19" s="19">
        <f t="shared" si="0"/>
        <v>0</v>
      </c>
      <c r="I19" s="331"/>
      <c r="J19" s="19">
        <f t="shared" si="1"/>
        <v>1535.59</v>
      </c>
      <c r="K19" s="19">
        <f t="shared" si="3"/>
        <v>8641.41</v>
      </c>
      <c r="L19" s="53"/>
      <c r="M19" s="51"/>
      <c r="N19" s="52"/>
    </row>
    <row r="20" spans="2:14" ht="35.1" customHeight="1" x14ac:dyDescent="0.2">
      <c r="B20" s="4" t="s">
        <v>187</v>
      </c>
      <c r="C20" s="4" t="s">
        <v>72</v>
      </c>
      <c r="D20" s="5">
        <v>15</v>
      </c>
      <c r="E20" s="19">
        <v>10177</v>
      </c>
      <c r="F20" s="19">
        <f t="shared" si="2"/>
        <v>10177</v>
      </c>
      <c r="G20" s="19"/>
      <c r="H20" s="19">
        <f t="shared" si="0"/>
        <v>0</v>
      </c>
      <c r="I20" s="331"/>
      <c r="J20" s="19">
        <f t="shared" si="1"/>
        <v>1535.59</v>
      </c>
      <c r="K20" s="19">
        <f t="shared" si="3"/>
        <v>8641.41</v>
      </c>
      <c r="L20" s="53"/>
      <c r="M20" s="51"/>
      <c r="N20" s="52"/>
    </row>
    <row r="21" spans="2:14" ht="35.1" customHeight="1" x14ac:dyDescent="0.2">
      <c r="B21" s="4" t="s">
        <v>188</v>
      </c>
      <c r="C21" s="4" t="s">
        <v>73</v>
      </c>
      <c r="D21" s="5">
        <v>15</v>
      </c>
      <c r="E21" s="19">
        <v>16699</v>
      </c>
      <c r="F21" s="19">
        <f t="shared" si="2"/>
        <v>16699</v>
      </c>
      <c r="G21" s="19"/>
      <c r="H21" s="19">
        <f t="shared" si="0"/>
        <v>0</v>
      </c>
      <c r="I21" s="331"/>
      <c r="J21" s="19">
        <f t="shared" si="1"/>
        <v>3031.23</v>
      </c>
      <c r="K21" s="19">
        <f t="shared" si="3"/>
        <v>13667.77</v>
      </c>
      <c r="L21" s="53"/>
      <c r="M21" s="51"/>
      <c r="N21" s="52"/>
    </row>
    <row r="22" spans="2:14" ht="35.1" customHeight="1" x14ac:dyDescent="0.2">
      <c r="B22" s="4"/>
      <c r="C22" s="4"/>
      <c r="D22" s="5"/>
      <c r="E22" s="19"/>
      <c r="F22" s="19"/>
      <c r="G22" s="19"/>
      <c r="H22" s="19"/>
      <c r="I22" s="19"/>
      <c r="J22" s="19"/>
      <c r="K22" s="99"/>
      <c r="L22" s="100"/>
    </row>
    <row r="23" spans="2:14" x14ac:dyDescent="0.2">
      <c r="B23" s="22"/>
      <c r="C23" s="22"/>
      <c r="D23" s="23"/>
      <c r="E23" s="25"/>
      <c r="F23" s="26"/>
      <c r="G23" s="26"/>
      <c r="H23" s="26"/>
      <c r="I23" s="26"/>
      <c r="J23" s="26"/>
      <c r="K23" s="26"/>
      <c r="L23" s="37"/>
    </row>
    <row r="24" spans="2:14" ht="15.75" thickBot="1" x14ac:dyDescent="0.3">
      <c r="B24" s="398"/>
      <c r="C24" s="398"/>
      <c r="D24" s="398"/>
      <c r="E24" s="106">
        <f t="shared" ref="E24:K24" si="4">SUM(E12:E22)</f>
        <v>108292</v>
      </c>
      <c r="F24" s="106">
        <f t="shared" si="4"/>
        <v>108292</v>
      </c>
      <c r="G24" s="106">
        <f t="shared" si="4"/>
        <v>0</v>
      </c>
      <c r="H24" s="106">
        <f t="shared" si="4"/>
        <v>0</v>
      </c>
      <c r="I24" s="106">
        <f t="shared" si="4"/>
        <v>0</v>
      </c>
      <c r="J24" s="106">
        <f t="shared" si="4"/>
        <v>16851.54</v>
      </c>
      <c r="K24" s="106">
        <f t="shared" si="4"/>
        <v>91440.460000000021</v>
      </c>
      <c r="L24" s="27"/>
    </row>
    <row r="25" spans="2:14" ht="15.75" thickTop="1" x14ac:dyDescent="0.25">
      <c r="B25" s="128"/>
      <c r="C25" s="128"/>
      <c r="D25" s="128"/>
      <c r="E25" s="130"/>
      <c r="F25" s="130"/>
      <c r="G25" s="130"/>
      <c r="H25" s="130"/>
      <c r="I25" s="130"/>
      <c r="J25" s="130"/>
      <c r="K25" s="130"/>
      <c r="L25" s="129"/>
    </row>
    <row r="26" spans="2:14" ht="15" x14ac:dyDescent="0.25">
      <c r="B26" s="128"/>
      <c r="C26" s="128"/>
      <c r="D26" s="128"/>
      <c r="E26" s="130"/>
      <c r="F26" s="130"/>
      <c r="G26" s="130"/>
      <c r="H26" s="130"/>
      <c r="I26" s="130"/>
      <c r="J26" s="130"/>
      <c r="K26" s="130"/>
      <c r="L26" s="129"/>
    </row>
    <row r="27" spans="2:14" ht="15" x14ac:dyDescent="0.25">
      <c r="B27" s="128"/>
      <c r="C27" s="128"/>
      <c r="D27" s="128"/>
      <c r="E27" s="130"/>
      <c r="F27" s="130"/>
      <c r="G27" s="130"/>
      <c r="H27" s="130"/>
      <c r="I27" s="130"/>
      <c r="J27" s="130"/>
      <c r="K27" s="130"/>
      <c r="L27" s="129"/>
    </row>
    <row r="28" spans="2:14" ht="15" x14ac:dyDescent="0.25">
      <c r="B28" s="128"/>
      <c r="C28" s="128"/>
      <c r="D28" s="128"/>
      <c r="E28" s="130"/>
      <c r="F28" s="130"/>
      <c r="G28" s="130"/>
      <c r="H28" s="130"/>
      <c r="I28" s="130"/>
      <c r="J28" s="130"/>
      <c r="K28" s="130"/>
      <c r="L28" s="129"/>
    </row>
    <row r="29" spans="2:14" ht="15" x14ac:dyDescent="0.25">
      <c r="B29" s="128"/>
      <c r="C29" s="128"/>
      <c r="D29" s="128"/>
      <c r="E29" s="130"/>
      <c r="F29" s="130"/>
      <c r="G29" s="130"/>
      <c r="H29" s="130"/>
      <c r="I29" s="130"/>
      <c r="J29" s="130"/>
      <c r="K29" s="130"/>
      <c r="L29" s="129"/>
    </row>
    <row r="32" spans="2:14" x14ac:dyDescent="0.2">
      <c r="B32" s="29" t="s">
        <v>121</v>
      </c>
      <c r="K32" s="29" t="s">
        <v>121</v>
      </c>
    </row>
    <row r="33" spans="2:11" x14ac:dyDescent="0.2">
      <c r="B33" s="29" t="s">
        <v>189</v>
      </c>
      <c r="K33" s="15" t="s">
        <v>190</v>
      </c>
    </row>
    <row r="34" spans="2:11" x14ac:dyDescent="0.2">
      <c r="B34" s="30" t="s">
        <v>9</v>
      </c>
      <c r="E34" s="30"/>
      <c r="F34" s="30"/>
      <c r="G34" s="30"/>
      <c r="H34" s="30"/>
      <c r="I34" s="30"/>
      <c r="J34" s="30"/>
      <c r="K34" s="30" t="s">
        <v>177</v>
      </c>
    </row>
    <row r="36" spans="2:11" x14ac:dyDescent="0.2">
      <c r="B36" s="33"/>
      <c r="D36" s="29"/>
    </row>
    <row r="37" spans="2:11" x14ac:dyDescent="0.2">
      <c r="B37" s="34"/>
      <c r="C37" s="30"/>
      <c r="D37" s="30"/>
      <c r="E37" s="30"/>
      <c r="F37" s="30"/>
      <c r="G37" s="30"/>
      <c r="H37" s="30"/>
      <c r="I37" s="30"/>
      <c r="J37" s="30"/>
      <c r="K37" s="30"/>
    </row>
    <row r="41" spans="2:11" x14ac:dyDescent="0.2">
      <c r="B41" s="29"/>
    </row>
    <row r="42" spans="2:11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</row>
  </sheetData>
  <sheetProtection selectLockedCells="1" selectUnlockedCells="1"/>
  <mergeCells count="6">
    <mergeCell ref="B24:D24"/>
    <mergeCell ref="B6:K6"/>
    <mergeCell ref="G7:K7"/>
    <mergeCell ref="B3:L3"/>
    <mergeCell ref="B5:L5"/>
    <mergeCell ref="B4:L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U141"/>
  <sheetViews>
    <sheetView topLeftCell="A80" zoomScaleNormal="100" workbookViewId="0">
      <selection activeCell="D80" sqref="D1:E1048576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4" width="50.140625" style="15" customWidth="1"/>
    <col min="5" max="5" width="32" style="15" customWidth="1"/>
    <col min="6" max="6" width="6.5703125" style="15" customWidth="1"/>
    <col min="7" max="7" width="13.28515625" style="15" bestFit="1" customWidth="1"/>
    <col min="8" max="8" width="14.7109375" style="15" bestFit="1" customWidth="1"/>
    <col min="9" max="9" width="12" style="51" bestFit="1" customWidth="1"/>
    <col min="10" max="10" width="12" style="15" bestFit="1" customWidth="1"/>
    <col min="11" max="11" width="11.28515625" style="15" hidden="1" customWidth="1"/>
    <col min="12" max="12" width="14.7109375" style="15" bestFit="1" customWidth="1"/>
    <col min="13" max="13" width="52.5703125" style="15" customWidth="1"/>
    <col min="14" max="15" width="11.42578125" style="15"/>
    <col min="16" max="16" width="12.85546875" style="15" bestFit="1" customWidth="1"/>
    <col min="17" max="16384" width="11.42578125" style="15"/>
  </cols>
  <sheetData>
    <row r="2" spans="4:17" x14ac:dyDescent="0.2">
      <c r="D2" s="46"/>
      <c r="E2" s="46"/>
      <c r="F2" s="46"/>
      <c r="G2" s="46"/>
      <c r="H2" s="46"/>
      <c r="I2" s="332"/>
      <c r="J2" s="46"/>
      <c r="K2" s="46"/>
      <c r="L2" s="46"/>
      <c r="M2" s="47"/>
      <c r="P2" s="51"/>
    </row>
    <row r="3" spans="4:17" ht="18" customHeight="1" x14ac:dyDescent="0.25">
      <c r="D3" s="411"/>
      <c r="E3" s="411"/>
      <c r="F3" s="411"/>
      <c r="G3" s="411"/>
      <c r="H3" s="411"/>
      <c r="I3" s="411"/>
      <c r="J3" s="411"/>
      <c r="K3" s="411"/>
      <c r="L3" s="411"/>
      <c r="M3" s="416"/>
      <c r="P3" s="51"/>
    </row>
    <row r="4" spans="4:17" ht="18" customHeight="1" x14ac:dyDescent="0.25">
      <c r="D4" s="411"/>
      <c r="E4" s="411"/>
      <c r="F4" s="411"/>
      <c r="G4" s="411"/>
      <c r="H4" s="411"/>
      <c r="I4" s="411"/>
      <c r="J4" s="411"/>
      <c r="K4" s="411"/>
      <c r="L4" s="411"/>
      <c r="M4" s="416"/>
      <c r="P4" s="51"/>
    </row>
    <row r="5" spans="4:17" ht="18" customHeight="1" x14ac:dyDescent="0.25">
      <c r="D5" s="411"/>
      <c r="E5" s="411"/>
      <c r="F5" s="411"/>
      <c r="G5" s="411"/>
      <c r="H5" s="411"/>
      <c r="I5" s="411"/>
      <c r="J5" s="411"/>
      <c r="K5" s="411"/>
      <c r="L5" s="411"/>
      <c r="M5" s="416"/>
      <c r="P5" s="51"/>
    </row>
    <row r="6" spans="4:17" ht="18" customHeight="1" x14ac:dyDescent="0.25">
      <c r="D6" s="411"/>
      <c r="E6" s="411"/>
      <c r="F6" s="411"/>
      <c r="G6" s="411"/>
      <c r="H6" s="411"/>
      <c r="I6" s="411"/>
      <c r="J6" s="411"/>
      <c r="K6" s="411"/>
      <c r="L6" s="411"/>
      <c r="M6" s="416"/>
    </row>
    <row r="7" spans="4:17" x14ac:dyDescent="0.2">
      <c r="D7" s="103"/>
      <c r="E7" s="103"/>
      <c r="F7" s="95" t="s">
        <v>3</v>
      </c>
      <c r="G7" s="104"/>
      <c r="H7" s="412" t="s">
        <v>151</v>
      </c>
      <c r="I7" s="413"/>
      <c r="J7" s="412"/>
      <c r="K7" s="414"/>
      <c r="L7" s="414"/>
      <c r="M7" s="95"/>
    </row>
    <row r="8" spans="4:17" ht="12.75" customHeight="1" x14ac:dyDescent="0.2">
      <c r="D8" s="91"/>
      <c r="E8" s="91"/>
      <c r="F8" s="94" t="s">
        <v>4</v>
      </c>
      <c r="G8" s="95" t="s">
        <v>1</v>
      </c>
      <c r="H8" s="95" t="s">
        <v>152</v>
      </c>
      <c r="I8" s="333" t="s">
        <v>155</v>
      </c>
      <c r="J8" s="96"/>
      <c r="K8" s="96" t="s">
        <v>170</v>
      </c>
      <c r="L8" s="96" t="s">
        <v>154</v>
      </c>
      <c r="M8" s="91" t="s">
        <v>159</v>
      </c>
    </row>
    <row r="9" spans="4:17" ht="15" x14ac:dyDescent="0.25">
      <c r="D9" s="97"/>
      <c r="E9" s="97" t="s">
        <v>8</v>
      </c>
      <c r="F9" s="91"/>
      <c r="G9" s="91" t="s">
        <v>6</v>
      </c>
      <c r="H9" s="91" t="s">
        <v>154</v>
      </c>
      <c r="I9" s="334" t="s">
        <v>156</v>
      </c>
      <c r="J9" s="95" t="s">
        <v>157</v>
      </c>
      <c r="K9" s="95" t="s">
        <v>171</v>
      </c>
      <c r="L9" s="95" t="s">
        <v>160</v>
      </c>
      <c r="M9" s="91"/>
    </row>
    <row r="10" spans="4:17" ht="15" x14ac:dyDescent="0.25">
      <c r="D10" s="98" t="s">
        <v>11</v>
      </c>
      <c r="E10" s="98" t="s">
        <v>7</v>
      </c>
      <c r="F10" s="96"/>
      <c r="G10" s="96"/>
      <c r="H10" s="96"/>
      <c r="I10" s="335"/>
      <c r="J10" s="96"/>
      <c r="K10" s="96"/>
      <c r="L10" s="96"/>
      <c r="M10" s="96"/>
    </row>
    <row r="11" spans="4:17" s="18" customFormat="1" ht="15.75" x14ac:dyDescent="0.25">
      <c r="D11" s="140" t="s">
        <v>17</v>
      </c>
      <c r="E11" s="140"/>
      <c r="F11" s="140"/>
      <c r="G11" s="140"/>
      <c r="H11" s="140"/>
      <c r="I11" s="336"/>
      <c r="J11" s="140"/>
      <c r="K11" s="140"/>
      <c r="L11" s="140"/>
      <c r="M11" s="16"/>
    </row>
    <row r="12" spans="4:17" ht="32.1" customHeight="1" x14ac:dyDescent="0.2">
      <c r="D12" s="147" t="s">
        <v>193</v>
      </c>
      <c r="E12" s="147" t="s">
        <v>10</v>
      </c>
      <c r="F12" s="142">
        <v>15</v>
      </c>
      <c r="G12" s="145">
        <v>20972</v>
      </c>
      <c r="H12" s="145">
        <v>20972</v>
      </c>
      <c r="I12" s="337">
        <f>IFERROR(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,0)</f>
        <v>0</v>
      </c>
      <c r="J12" s="145">
        <f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4174.54</v>
      </c>
      <c r="K12" s="145">
        <v>0</v>
      </c>
      <c r="L12" s="145">
        <f>H12+I12-J12</f>
        <v>16797.46</v>
      </c>
      <c r="M12" s="19"/>
      <c r="P12" s="51"/>
      <c r="Q12" s="52"/>
    </row>
    <row r="13" spans="4:17" ht="32.1" customHeight="1" x14ac:dyDescent="0.2">
      <c r="D13" s="147" t="s">
        <v>194</v>
      </c>
      <c r="E13" s="148" t="s">
        <v>195</v>
      </c>
      <c r="F13" s="142">
        <v>15</v>
      </c>
      <c r="G13" s="145">
        <v>4791</v>
      </c>
      <c r="H13" s="145">
        <v>4791</v>
      </c>
      <c r="I13" s="337">
        <f>IFERROR(IF(ROUND((((H13/F13*30.4)-VLOOKUP((H13/F13*30.4),TARIFA,1))*VLOOKUP((H13/F13*30.4),TARIFA,3)+VLOOKUP((H13/F13*30.4),TARIFA,2)-VLOOKUP((H13/F13*30.4),SUBSIDIO,2))/30.4*F13,2)&lt;0,ROUND(-(((H13/F13*30.4)-VLOOKUP((H13/F13*30.4),TARIFA,1))*VLOOKUP((H13/F13*30.4),TARIFA,3)+VLOOKUP((H13/F13*30.4),TARIFA,2)-VLOOKUP((H13/F13*30.4),SUBSIDIO,2))/30.4*F13,2),0),0)</f>
        <v>0</v>
      </c>
      <c r="J13" s="145">
        <f>IFERROR(IF(ROUND((((H13/F13*30.4)-VLOOKUP((H13/F13*30.4),TARIFA,1))*VLOOKUP((H13/F13*30.4),TARIFA,3)+VLOOKUP((H13/F13*30.4),TARIFA,2)-VLOOKUP((H13/F13*30.4),SUBSIDIO,2))/30.4*F13,2)&gt;0,ROUND((((H13/F13*30.4)-VLOOKUP((H13/F13*30.4),TARIFA,1))*VLOOKUP((H13/F13*30.4),TARIFA,3)+VLOOKUP((H13/F13*30.4),TARIFA,2)-VLOOKUP((H13/F13*30.4),SUBSIDIO,2))/30.4*F13,2),0),0)</f>
        <v>427.23</v>
      </c>
      <c r="K13" s="145">
        <v>0</v>
      </c>
      <c r="L13" s="145">
        <f t="shared" ref="L13:L33" si="0">H13+I13-J13</f>
        <v>4363.7700000000004</v>
      </c>
      <c r="M13" s="19"/>
      <c r="P13" s="51"/>
      <c r="Q13" s="52"/>
    </row>
    <row r="14" spans="4:17" ht="32.1" customHeight="1" x14ac:dyDescent="0.2">
      <c r="D14" s="147" t="s">
        <v>209</v>
      </c>
      <c r="E14" s="147" t="s">
        <v>210</v>
      </c>
      <c r="F14" s="149">
        <v>15</v>
      </c>
      <c r="G14" s="150">
        <v>7423</v>
      </c>
      <c r="H14" s="151">
        <v>7423</v>
      </c>
      <c r="I14" s="337">
        <f>IFERROR(IF(ROUND((((H14/F14*30.4)-VLOOKUP((H14/F14*30.4),TARIFA,1))*VLOOKUP((H14/F14*30.4),TARIFA,3)+VLOOKUP((H14/F14*30.4),TARIFA,2)-VLOOKUP((H14/F14*30.4),SUBSIDIO,2))/30.4*F14,2)&lt;0,ROUND(-(((H14/F14*30.4)-VLOOKUP((H14/F14*30.4),TARIFA,1))*VLOOKUP((H14/F14*30.4),TARIFA,3)+VLOOKUP((H14/F14*30.4),TARIFA,2)-VLOOKUP((H14/F14*30.4),SUBSIDIO,2))/30.4*F14,2),0),0)</f>
        <v>0</v>
      </c>
      <c r="J14" s="145">
        <f>IFERROR(IF(ROUND((((H14/F14*30.4)-VLOOKUP((H14/F14*30.4),TARIFA,1))*VLOOKUP((H14/F14*30.4),TARIFA,3)+VLOOKUP((H14/F14*30.4),TARIFA,2)-VLOOKUP((H14/F14*30.4),SUBSIDIO,2))/30.4*F14,2)&gt;0,ROUND((((H14/F14*30.4)-VLOOKUP((H14/F14*30.4),TARIFA,1))*VLOOKUP((H14/F14*30.4),TARIFA,3)+VLOOKUP((H14/F14*30.4),TARIFA,2)-VLOOKUP((H14/F14*30.4),SUBSIDIO,2))/30.4*F14,2),0),0)</f>
        <v>947.33</v>
      </c>
      <c r="K14" s="145"/>
      <c r="L14" s="145">
        <f t="shared" si="0"/>
        <v>6475.67</v>
      </c>
      <c r="M14" s="19"/>
      <c r="P14" s="51"/>
      <c r="Q14" s="52"/>
    </row>
    <row r="15" spans="4:17" ht="32.1" customHeight="1" x14ac:dyDescent="0.25">
      <c r="D15" s="141" t="s">
        <v>143</v>
      </c>
      <c r="E15" s="152"/>
      <c r="F15" s="153"/>
      <c r="G15" s="154"/>
      <c r="H15" s="155"/>
      <c r="I15" s="338"/>
      <c r="J15" s="146"/>
      <c r="K15" s="145"/>
      <c r="L15" s="145"/>
      <c r="M15" s="19"/>
      <c r="P15" s="51"/>
      <c r="Q15" s="52"/>
    </row>
    <row r="16" spans="4:17" ht="32.1" customHeight="1" x14ac:dyDescent="0.2">
      <c r="D16" s="147" t="s">
        <v>206</v>
      </c>
      <c r="E16" s="147" t="s">
        <v>16</v>
      </c>
      <c r="F16" s="142">
        <v>15</v>
      </c>
      <c r="G16" s="145">
        <v>9367</v>
      </c>
      <c r="H16" s="145">
        <v>9367</v>
      </c>
      <c r="I16" s="337">
        <f>IFERROR(IF(ROUND((((H16/F16*30.4)-VLOOKUP((H16/F16*30.4),TARIFA,1))*VLOOKUP((H16/F16*30.4),TARIFA,3)+VLOOKUP((H16/F16*30.4),TARIFA,2)-VLOOKUP((H16/F16*30.4),SUBSIDIO,2))/30.4*F16,2)&lt;0,ROUND(-(((H16/F16*30.4)-VLOOKUP((H16/F16*30.4),TARIFA,1))*VLOOKUP((H16/F16*30.4),TARIFA,3)+VLOOKUP((H16/F16*30.4),TARIFA,2)-VLOOKUP((H16/F16*30.4),SUBSIDIO,2))/30.4*F16,2),0),0)</f>
        <v>0</v>
      </c>
      <c r="J16" s="145">
        <f>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</f>
        <v>1362.57</v>
      </c>
      <c r="K16" s="145">
        <v>0</v>
      </c>
      <c r="L16" s="145">
        <f t="shared" si="0"/>
        <v>8004.43</v>
      </c>
      <c r="M16" s="19"/>
      <c r="P16" s="51"/>
      <c r="Q16" s="52"/>
    </row>
    <row r="17" spans="4:17" ht="32.1" customHeight="1" x14ac:dyDescent="0.2">
      <c r="D17" s="147" t="s">
        <v>12</v>
      </c>
      <c r="E17" s="147" t="s">
        <v>13</v>
      </c>
      <c r="F17" s="142">
        <v>15</v>
      </c>
      <c r="G17" s="145">
        <v>3758</v>
      </c>
      <c r="H17" s="145">
        <v>3758</v>
      </c>
      <c r="I17" s="337">
        <f>IFERROR(IF(ROUND((((H17/F17*30.4)-VLOOKUP((H17/F17*30.4),TARIFA,1))*VLOOKUP((H17/F17*30.4),TARIFA,3)+VLOOKUP((H17/F17*30.4),TARIFA,2)-VLOOKUP((H17/F17*30.4),SUBSIDIO,2))/30.4*F17,2)&lt;0,ROUND(-(((H17/F17*30.4)-VLOOKUP((H17/F17*30.4),TARIFA,1))*VLOOKUP((H17/F17*30.4),TARIFA,3)+VLOOKUP((H17/F17*30.4),TARIFA,2)-VLOOKUP((H17/F17*30.4),SUBSIDIO,2))/30.4*F17,2),0),0)</f>
        <v>0</v>
      </c>
      <c r="J17" s="145">
        <f>IFERROR(IF(ROUND((((H17/F17*30.4)-VLOOKUP((H17/F17*30.4),TARIFA,1))*VLOOKUP((H17/F17*30.4),TARIFA,3)+VLOOKUP((H17/F17*30.4),TARIFA,2)-VLOOKUP((H17/F17*30.4),SUBSIDIO,2))/30.4*F17,2)&gt;0,ROUND((((H17/F17*30.4)-VLOOKUP((H17/F17*30.4),TARIFA,1))*VLOOKUP((H17/F17*30.4),TARIFA,3)+VLOOKUP((H17/F17*30.4),TARIFA,2)-VLOOKUP((H17/F17*30.4),SUBSIDIO,2))/30.4*F17,2),0),0)</f>
        <v>287.54000000000002</v>
      </c>
      <c r="K17" s="145">
        <v>0</v>
      </c>
      <c r="L17" s="145">
        <f t="shared" si="0"/>
        <v>3470.46</v>
      </c>
      <c r="M17" s="19"/>
      <c r="P17" s="51"/>
      <c r="Q17" s="52"/>
    </row>
    <row r="18" spans="4:17" ht="32.1" customHeight="1" x14ac:dyDescent="0.25">
      <c r="D18" s="141" t="s">
        <v>98</v>
      </c>
      <c r="E18" s="147"/>
      <c r="F18" s="142"/>
      <c r="G18" s="145"/>
      <c r="H18" s="145"/>
      <c r="I18" s="337"/>
      <c r="J18" s="145"/>
      <c r="K18" s="145"/>
      <c r="L18" s="145"/>
      <c r="M18" s="19"/>
      <c r="P18" s="51"/>
      <c r="Q18" s="52"/>
    </row>
    <row r="19" spans="4:17" ht="32.1" customHeight="1" x14ac:dyDescent="0.2">
      <c r="D19" s="147" t="s">
        <v>53</v>
      </c>
      <c r="E19" s="147" t="s">
        <v>67</v>
      </c>
      <c r="F19" s="142">
        <v>15</v>
      </c>
      <c r="G19" s="145">
        <v>3548</v>
      </c>
      <c r="H19" s="145">
        <v>3548</v>
      </c>
      <c r="I19" s="337">
        <f>IFERROR(IF(ROUND((((H19/F19*30.4)-VLOOKUP((H19/F19*30.4),TARIFA,1))*VLOOKUP((H19/F19*30.4),TARIFA,3)+VLOOKUP((H19/F19*30.4),TARIFA,2)-VLOOKUP((H19/F19*30.4),SUBSIDIO,2))/30.4*F19,2)&lt;0,ROUND(-(((H19/F19*30.4)-VLOOKUP((H19/F19*30.4),TARIFA,1))*VLOOKUP((H19/F19*30.4),TARIFA,3)+VLOOKUP((H19/F19*30.4),TARIFA,2)-VLOOKUP((H19/F19*30.4),SUBSIDIO,2))/30.4*F19,2),0),0)</f>
        <v>0</v>
      </c>
      <c r="J19" s="145">
        <f>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</f>
        <v>157.32</v>
      </c>
      <c r="K19" s="145">
        <v>0</v>
      </c>
      <c r="L19" s="145">
        <f t="shared" si="0"/>
        <v>3390.68</v>
      </c>
      <c r="M19" s="19"/>
      <c r="P19" s="51"/>
      <c r="Q19" s="52"/>
    </row>
    <row r="20" spans="4:17" ht="32.1" customHeight="1" x14ac:dyDescent="0.25">
      <c r="D20" s="141" t="s">
        <v>18</v>
      </c>
      <c r="E20" s="147"/>
      <c r="F20" s="142"/>
      <c r="G20" s="145"/>
      <c r="H20" s="145"/>
      <c r="I20" s="337"/>
      <c r="J20" s="145"/>
      <c r="K20" s="145"/>
      <c r="L20" s="145"/>
      <c r="M20" s="19"/>
      <c r="P20" s="51"/>
      <c r="Q20" s="52"/>
    </row>
    <row r="21" spans="4:17" ht="32.1" customHeight="1" x14ac:dyDescent="0.2">
      <c r="D21" s="147" t="s">
        <v>141</v>
      </c>
      <c r="E21" s="147" t="s">
        <v>243</v>
      </c>
      <c r="F21" s="156">
        <v>15</v>
      </c>
      <c r="G21" s="145">
        <v>2868</v>
      </c>
      <c r="H21" s="145">
        <v>2868</v>
      </c>
      <c r="I21" s="337">
        <f>IFERROR(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,0)</f>
        <v>0</v>
      </c>
      <c r="J21" s="145">
        <f>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</f>
        <v>45.33</v>
      </c>
      <c r="K21" s="145"/>
      <c r="L21" s="145">
        <f t="shared" si="0"/>
        <v>2822.67</v>
      </c>
      <c r="M21" s="19"/>
      <c r="P21" s="51"/>
      <c r="Q21" s="52"/>
    </row>
    <row r="22" spans="4:17" ht="32.1" customHeight="1" x14ac:dyDescent="0.25">
      <c r="D22" s="141" t="s">
        <v>99</v>
      </c>
      <c r="E22" s="147"/>
      <c r="F22" s="142"/>
      <c r="G22" s="145"/>
      <c r="H22" s="145"/>
      <c r="I22" s="337"/>
      <c r="J22" s="145"/>
      <c r="K22" s="145"/>
      <c r="L22" s="145"/>
      <c r="M22" s="19"/>
      <c r="P22" s="51"/>
      <c r="Q22" s="52"/>
    </row>
    <row r="23" spans="4:17" ht="32.1" customHeight="1" x14ac:dyDescent="0.2">
      <c r="D23" s="147" t="s">
        <v>132</v>
      </c>
      <c r="E23" s="147" t="s">
        <v>100</v>
      </c>
      <c r="F23" s="142">
        <v>15</v>
      </c>
      <c r="G23" s="145">
        <v>3758</v>
      </c>
      <c r="H23" s="145">
        <v>3758</v>
      </c>
      <c r="I23" s="337">
        <f>IFERROR(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,0)</f>
        <v>0</v>
      </c>
      <c r="J23" s="145">
        <f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287.54000000000002</v>
      </c>
      <c r="K23" s="145">
        <v>0</v>
      </c>
      <c r="L23" s="145">
        <f t="shared" si="0"/>
        <v>3470.46</v>
      </c>
      <c r="M23" s="19"/>
      <c r="P23" s="51"/>
      <c r="Q23" s="52"/>
    </row>
    <row r="24" spans="4:17" ht="32.1" customHeight="1" x14ac:dyDescent="0.25">
      <c r="D24" s="141" t="s">
        <v>91</v>
      </c>
      <c r="E24" s="147"/>
      <c r="F24" s="142"/>
      <c r="G24" s="145"/>
      <c r="H24" s="145"/>
      <c r="I24" s="337"/>
      <c r="J24" s="145"/>
      <c r="K24" s="145"/>
      <c r="L24" s="145"/>
      <c r="M24" s="19"/>
      <c r="P24" s="51"/>
      <c r="Q24" s="52"/>
    </row>
    <row r="25" spans="4:17" ht="32.1" customHeight="1" x14ac:dyDescent="0.2">
      <c r="D25" s="147" t="s">
        <v>145</v>
      </c>
      <c r="E25" s="147" t="s">
        <v>68</v>
      </c>
      <c r="F25" s="142">
        <v>15</v>
      </c>
      <c r="G25" s="145">
        <v>3758</v>
      </c>
      <c r="H25" s="145">
        <v>3758</v>
      </c>
      <c r="I25" s="337">
        <f>IFERROR(IF(ROUND((((H25/F25*30.4)-VLOOKUP((H25/F25*30.4),TARIFA,1))*VLOOKUP((H25/F25*30.4),TARIFA,3)+VLOOKUP((H25/F25*30.4),TARIFA,2)-VLOOKUP((H25/F25*30.4),SUBSIDIO,2))/30.4*F25,2)&lt;0,ROUND(-(((H25/F25*30.4)-VLOOKUP((H25/F25*30.4),TARIFA,1))*VLOOKUP((H25/F25*30.4),TARIFA,3)+VLOOKUP((H25/F25*30.4),TARIFA,2)-VLOOKUP((H25/F25*30.4),SUBSIDIO,2))/30.4*F25,2),0),0)</f>
        <v>0</v>
      </c>
      <c r="J25" s="145">
        <f>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</f>
        <v>287.54000000000002</v>
      </c>
      <c r="K25" s="145">
        <v>0</v>
      </c>
      <c r="L25" s="145">
        <f t="shared" si="0"/>
        <v>3470.46</v>
      </c>
      <c r="M25" s="19"/>
      <c r="P25" s="51"/>
      <c r="Q25" s="52"/>
    </row>
    <row r="26" spans="4:17" ht="32.1" customHeight="1" x14ac:dyDescent="0.2">
      <c r="D26" s="157" t="s">
        <v>133</v>
      </c>
      <c r="E26" s="147" t="s">
        <v>134</v>
      </c>
      <c r="F26" s="142">
        <v>15</v>
      </c>
      <c r="G26" s="144">
        <v>2284</v>
      </c>
      <c r="H26" s="152">
        <v>2284</v>
      </c>
      <c r="I26" s="337">
        <f>IFERROR(IF(ROUND((((H26/F26*30.4)-VLOOKUP((H26/F26*30.4),TARIFA,1))*VLOOKUP((H26/F26*30.4),TARIFA,3)+VLOOKUP((H26/F26*30.4),TARIFA,2)-VLOOKUP((H26/F26*30.4),SUBSIDIO,2))/30.4*F26,2)&lt;0,ROUND(-(((H26/F26*30.4)-VLOOKUP((H26/F26*30.4),TARIFA,1))*VLOOKUP((H26/F26*30.4),TARIFA,3)+VLOOKUP((H26/F26*30.4),TARIFA,2)-VLOOKUP((H26/F26*30.4),SUBSIDIO,2))/30.4*F26,2),0),0)</f>
        <v>41.4</v>
      </c>
      <c r="J26" s="145">
        <f>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</f>
        <v>0</v>
      </c>
      <c r="K26" s="144">
        <v>0</v>
      </c>
      <c r="L26" s="145">
        <f t="shared" si="0"/>
        <v>2325.4</v>
      </c>
      <c r="M26" s="19"/>
      <c r="P26" s="51"/>
      <c r="Q26" s="52"/>
    </row>
    <row r="27" spans="4:17" ht="32.1" customHeight="1" x14ac:dyDescent="0.2">
      <c r="D27" s="157" t="s">
        <v>14</v>
      </c>
      <c r="E27" s="147" t="s">
        <v>15</v>
      </c>
      <c r="F27" s="142">
        <v>15</v>
      </c>
      <c r="G27" s="145">
        <v>2141</v>
      </c>
      <c r="H27" s="145">
        <v>2141</v>
      </c>
      <c r="I27" s="337">
        <f>IFERROR(IF(ROUND((((H27/F27*30.4)-VLOOKUP((H27/F27*30.4),TARIFA,1))*VLOOKUP((H27/F27*30.4),TARIFA,3)+VLOOKUP((H27/F27*30.4),TARIFA,2)-VLOOKUP((H27/F27*30.4),SUBSIDIO,2))/30.4*F27,2)&lt;0,ROUND(-(((H27/F27*30.4)-VLOOKUP((H27/F27*30.4),TARIFA,1))*VLOOKUP((H27/F27*30.4),TARIFA,3)+VLOOKUP((H27/F27*30.4),TARIFA,2)-VLOOKUP((H27/F27*30.4),SUBSIDIO,2))/30.4*F27,2),0),0)</f>
        <v>64.48</v>
      </c>
      <c r="J27" s="145">
        <f>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</f>
        <v>0</v>
      </c>
      <c r="K27" s="145">
        <v>0</v>
      </c>
      <c r="L27" s="145">
        <f t="shared" si="0"/>
        <v>2205.48</v>
      </c>
      <c r="M27" s="19"/>
      <c r="P27" s="51"/>
      <c r="Q27" s="52"/>
    </row>
    <row r="28" spans="4:17" ht="32.1" customHeight="1" x14ac:dyDescent="0.25">
      <c r="D28" s="141" t="s">
        <v>75</v>
      </c>
      <c r="E28" s="147"/>
      <c r="F28" s="142"/>
      <c r="G28" s="145"/>
      <c r="H28" s="145"/>
      <c r="I28" s="337"/>
      <c r="J28" s="145"/>
      <c r="K28" s="145"/>
      <c r="L28" s="145"/>
      <c r="M28" s="19"/>
      <c r="P28" s="51"/>
      <c r="Q28" s="52"/>
    </row>
    <row r="29" spans="4:17" ht="32.1" customHeight="1" x14ac:dyDescent="0.2">
      <c r="D29" s="147" t="s">
        <v>101</v>
      </c>
      <c r="E29" s="147" t="s">
        <v>20</v>
      </c>
      <c r="F29" s="142">
        <v>15</v>
      </c>
      <c r="G29" s="145">
        <v>3444</v>
      </c>
      <c r="H29" s="145">
        <v>3444</v>
      </c>
      <c r="I29" s="337">
        <f>IFERROR(IF(ROUND((((H29/F29*30.4)-VLOOKUP((H29/F29*30.4),TARIFA,1))*VLOOKUP((H29/F29*30.4),TARIFA,3)+VLOOKUP((H29/F29*30.4),TARIFA,2)-VLOOKUP((H29/F29*30.4),SUBSIDIO,2))/30.4*F29,2)&lt;0,ROUND(-(((H29/F29*30.4)-VLOOKUP((H29/F29*30.4),TARIFA,1))*VLOOKUP((H29/F29*30.4),TARIFA,3)+VLOOKUP((H29/F29*30.4),TARIFA,2)-VLOOKUP((H29/F29*30.4),SUBSIDIO,2))/30.4*F29,2),0),0)</f>
        <v>0</v>
      </c>
      <c r="J29" s="145">
        <f>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</f>
        <v>128.27000000000001</v>
      </c>
      <c r="K29" s="145">
        <v>0</v>
      </c>
      <c r="L29" s="145">
        <f t="shared" si="0"/>
        <v>3315.73</v>
      </c>
      <c r="M29" s="19"/>
      <c r="P29" s="51"/>
      <c r="Q29" s="52"/>
    </row>
    <row r="30" spans="4:17" ht="32.1" customHeight="1" x14ac:dyDescent="0.25">
      <c r="D30" s="141" t="s">
        <v>21</v>
      </c>
      <c r="E30" s="147"/>
      <c r="F30" s="142"/>
      <c r="G30" s="145"/>
      <c r="H30" s="145"/>
      <c r="I30" s="337"/>
      <c r="J30" s="145"/>
      <c r="K30" s="145"/>
      <c r="L30" s="145"/>
      <c r="M30" s="19"/>
      <c r="P30" s="51"/>
      <c r="Q30" s="52"/>
    </row>
    <row r="31" spans="4:17" ht="32.1" customHeight="1" x14ac:dyDescent="0.2">
      <c r="D31" s="147" t="s">
        <v>19</v>
      </c>
      <c r="E31" s="148" t="s">
        <v>76</v>
      </c>
      <c r="F31" s="142">
        <v>15</v>
      </c>
      <c r="G31" s="145">
        <v>4215</v>
      </c>
      <c r="H31" s="145">
        <v>4215</v>
      </c>
      <c r="I31" s="337">
        <f>IFERROR(IF(ROUND((((H31/F31*30.4)-VLOOKUP((H31/F31*30.4),TARIFA,1))*VLOOKUP((H31/F31*30.4),TARIFA,3)+VLOOKUP((H31/F31*30.4),TARIFA,2)-VLOOKUP((H31/F31*30.4),SUBSIDIO,2))/30.4*F31,2)&lt;0,ROUND(-(((H31/F31*30.4)-VLOOKUP((H31/F31*30.4),TARIFA,1))*VLOOKUP((H31/F31*30.4),TARIFA,3)+VLOOKUP((H31/F31*30.4),TARIFA,2)-VLOOKUP((H31/F31*30.4),SUBSIDIO,2))/30.4*F31,2),0),0)</f>
        <v>0</v>
      </c>
      <c r="J31" s="145">
        <f>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</f>
        <v>337.26</v>
      </c>
      <c r="K31" s="145">
        <v>0</v>
      </c>
      <c r="L31" s="145">
        <f t="shared" si="0"/>
        <v>3877.74</v>
      </c>
      <c r="M31" s="19"/>
      <c r="P31" s="51"/>
      <c r="Q31" s="52"/>
    </row>
    <row r="32" spans="4:17" ht="32.1" customHeight="1" x14ac:dyDescent="0.25">
      <c r="D32" s="141" t="s">
        <v>271</v>
      </c>
      <c r="E32" s="147"/>
      <c r="F32" s="142"/>
      <c r="G32" s="145"/>
      <c r="H32" s="145"/>
      <c r="I32" s="337"/>
      <c r="J32" s="145"/>
      <c r="K32" s="145"/>
      <c r="L32" s="145"/>
      <c r="M32" s="19"/>
      <c r="P32" s="51"/>
      <c r="Q32" s="52"/>
    </row>
    <row r="33" spans="2:17" ht="43.5" customHeight="1" x14ac:dyDescent="0.2">
      <c r="D33" s="147" t="s">
        <v>77</v>
      </c>
      <c r="E33" s="148" t="s">
        <v>272</v>
      </c>
      <c r="F33" s="142">
        <v>15</v>
      </c>
      <c r="G33" s="145">
        <v>3758</v>
      </c>
      <c r="H33" s="145">
        <v>3758</v>
      </c>
      <c r="I33" s="337">
        <f>IFERROR(IF(ROUND((((H33/F33*30.4)-VLOOKUP((H33/F33*30.4),TARIFA,1))*VLOOKUP((H33/F33*30.4),TARIFA,3)+VLOOKUP((H33/F33*30.4),TARIFA,2)-VLOOKUP((H33/F33*30.4),SUBSIDIO,2))/30.4*F33,2)&lt;0,ROUND(-(((H33/F33*30.4)-VLOOKUP((H33/F33*30.4),TARIFA,1))*VLOOKUP((H33/F33*30.4),TARIFA,3)+VLOOKUP((H33/F33*30.4),TARIFA,2)-VLOOKUP((H33/F33*30.4),SUBSIDIO,2))/30.4*F33,2),0),0)</f>
        <v>0</v>
      </c>
      <c r="J33" s="145">
        <f>IFERROR(IF(ROUND((((H33/F33*30.4)-VLOOKUP((H33/F33*30.4),TARIFA,1))*VLOOKUP((H33/F33*30.4),TARIFA,3)+VLOOKUP((H33/F33*30.4),TARIFA,2)-VLOOKUP((H33/F33*30.4),SUBSIDIO,2))/30.4*F33,2)&gt;0,ROUND((((H33/F33*30.4)-VLOOKUP((H33/F33*30.4),TARIFA,1))*VLOOKUP((H33/F33*30.4),TARIFA,3)+VLOOKUP((H33/F33*30.4),TARIFA,2)-VLOOKUP((H33/F33*30.4),SUBSIDIO,2))/30.4*F33,2),0),0)</f>
        <v>287.54000000000002</v>
      </c>
      <c r="K33" s="145">
        <v>0</v>
      </c>
      <c r="L33" s="145">
        <f t="shared" si="0"/>
        <v>3470.46</v>
      </c>
      <c r="M33" s="19"/>
      <c r="P33" s="51"/>
      <c r="Q33" s="52"/>
    </row>
    <row r="34" spans="2:17" ht="24.95" customHeight="1" x14ac:dyDescent="0.2">
      <c r="D34" s="82"/>
      <c r="E34" s="82"/>
      <c r="F34" s="81"/>
      <c r="G34" s="83">
        <f>G33+G31+G29+G27+G26+G25+G23+G21+G19+G17+G16+G14+G13+H12</f>
        <v>76085</v>
      </c>
      <c r="H34" s="75">
        <f>H33+H31+H29+H27+H26+H25+H23+H21+H19+H17+H16+H14+H13+H12</f>
        <v>76085</v>
      </c>
      <c r="I34" s="339"/>
      <c r="J34" s="75"/>
      <c r="K34" s="75"/>
      <c r="L34" s="75"/>
      <c r="M34" s="84"/>
      <c r="P34" s="51"/>
      <c r="Q34" s="52"/>
    </row>
    <row r="35" spans="2:17" ht="21.95" customHeight="1" x14ac:dyDescent="0.25">
      <c r="B35" s="37"/>
      <c r="C35" s="37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P35" s="51"/>
      <c r="Q35" s="52"/>
    </row>
    <row r="36" spans="2:17" ht="21.95" customHeight="1" x14ac:dyDescent="0.25">
      <c r="B36" s="37"/>
      <c r="C36" s="37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P36" s="51"/>
      <c r="Q36" s="52"/>
    </row>
    <row r="37" spans="2:17" ht="21.95" customHeight="1" x14ac:dyDescent="0.25">
      <c r="B37" s="37"/>
      <c r="C37" s="37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P37" s="51"/>
      <c r="Q37" s="52"/>
    </row>
    <row r="38" spans="2:17" ht="21.95" customHeight="1" x14ac:dyDescent="0.25">
      <c r="B38" s="37"/>
      <c r="C38" s="37"/>
      <c r="D38" s="411"/>
      <c r="E38" s="411"/>
      <c r="F38" s="411"/>
      <c r="G38" s="411"/>
      <c r="H38" s="411"/>
      <c r="I38" s="411"/>
      <c r="J38" s="411"/>
      <c r="K38" s="411"/>
      <c r="L38" s="411"/>
      <c r="M38" s="411"/>
      <c r="P38" s="51"/>
      <c r="Q38" s="52"/>
    </row>
    <row r="39" spans="2:17" ht="18.75" customHeight="1" x14ac:dyDescent="0.2">
      <c r="B39" s="37"/>
      <c r="C39" s="37"/>
      <c r="D39" s="103"/>
      <c r="E39" s="103"/>
      <c r="F39" s="95" t="s">
        <v>3</v>
      </c>
      <c r="G39" s="104"/>
      <c r="H39" s="412" t="s">
        <v>151</v>
      </c>
      <c r="I39" s="413"/>
      <c r="J39" s="412"/>
      <c r="K39" s="414"/>
      <c r="L39" s="414"/>
      <c r="M39" s="95"/>
      <c r="P39" s="51"/>
      <c r="Q39" s="52"/>
    </row>
    <row r="40" spans="2:17" ht="12" customHeight="1" x14ac:dyDescent="0.2">
      <c r="B40" s="37"/>
      <c r="C40" s="37"/>
      <c r="D40" s="91"/>
      <c r="E40" s="91"/>
      <c r="F40" s="94" t="s">
        <v>4</v>
      </c>
      <c r="G40" s="95" t="s">
        <v>1</v>
      </c>
      <c r="H40" s="95" t="s">
        <v>152</v>
      </c>
      <c r="I40" s="333" t="s">
        <v>155</v>
      </c>
      <c r="J40" s="96"/>
      <c r="K40" s="96" t="s">
        <v>170</v>
      </c>
      <c r="L40" s="96" t="s">
        <v>154</v>
      </c>
      <c r="M40" s="91" t="s">
        <v>159</v>
      </c>
      <c r="P40" s="51"/>
      <c r="Q40" s="52"/>
    </row>
    <row r="41" spans="2:17" ht="18.75" customHeight="1" x14ac:dyDescent="0.25">
      <c r="B41" s="37"/>
      <c r="C41" s="37"/>
      <c r="D41" s="97"/>
      <c r="E41" s="97" t="s">
        <v>8</v>
      </c>
      <c r="F41" s="91"/>
      <c r="G41" s="91" t="s">
        <v>6</v>
      </c>
      <c r="H41" s="91" t="s">
        <v>154</v>
      </c>
      <c r="I41" s="334" t="s">
        <v>156</v>
      </c>
      <c r="J41" s="95" t="s">
        <v>157</v>
      </c>
      <c r="K41" s="95" t="s">
        <v>171</v>
      </c>
      <c r="L41" s="95" t="s">
        <v>160</v>
      </c>
      <c r="M41" s="91"/>
      <c r="P41" s="51"/>
      <c r="Q41" s="52"/>
    </row>
    <row r="42" spans="2:17" ht="14.25" customHeight="1" x14ac:dyDescent="0.25">
      <c r="B42" s="37"/>
      <c r="C42" s="37"/>
      <c r="D42" s="98" t="s">
        <v>11</v>
      </c>
      <c r="E42" s="98" t="s">
        <v>7</v>
      </c>
      <c r="F42" s="96"/>
      <c r="G42" s="96"/>
      <c r="H42" s="96"/>
      <c r="I42" s="335"/>
      <c r="J42" s="96"/>
      <c r="K42" s="96"/>
      <c r="L42" s="96"/>
      <c r="M42" s="96"/>
      <c r="P42" s="51"/>
      <c r="Q42" s="52"/>
    </row>
    <row r="43" spans="2:17" ht="14.25" customHeight="1" x14ac:dyDescent="0.25">
      <c r="B43" s="37"/>
      <c r="C43" s="37"/>
      <c r="D43" s="105"/>
      <c r="E43" s="105"/>
      <c r="F43" s="91"/>
      <c r="G43" s="91"/>
      <c r="H43" s="91"/>
      <c r="I43" s="94"/>
      <c r="J43" s="91"/>
      <c r="K43" s="91"/>
      <c r="L43" s="91"/>
      <c r="M43" s="91"/>
      <c r="P43" s="51"/>
      <c r="Q43" s="52"/>
    </row>
    <row r="44" spans="2:17" ht="36.950000000000003" customHeight="1" x14ac:dyDescent="0.25">
      <c r="B44" s="37"/>
      <c r="C44" s="37"/>
      <c r="D44" s="140" t="s">
        <v>220</v>
      </c>
      <c r="E44" s="140"/>
      <c r="F44" s="140"/>
      <c r="G44" s="140"/>
      <c r="H44" s="140"/>
      <c r="I44" s="336"/>
      <c r="J44" s="140"/>
      <c r="K44" s="140"/>
      <c r="L44" s="140"/>
      <c r="M44" s="16"/>
      <c r="P44" s="51"/>
      <c r="Q44" s="52"/>
    </row>
    <row r="45" spans="2:17" ht="36.950000000000003" customHeight="1" x14ac:dyDescent="0.2">
      <c r="B45" s="37"/>
      <c r="C45" s="37"/>
      <c r="D45" s="242" t="s">
        <v>208</v>
      </c>
      <c r="E45" s="243" t="s">
        <v>269</v>
      </c>
      <c r="F45" s="244">
        <v>15</v>
      </c>
      <c r="G45" s="160">
        <v>6619</v>
      </c>
      <c r="H45" s="145">
        <v>6619</v>
      </c>
      <c r="I45" s="337">
        <f>IFERROR(IF(ROUND((((H45/F45*30.4)-VLOOKUP((H45/F45*30.4),TARIFA,1))*VLOOKUP((H45/F45*30.4),TARIFA,3)+VLOOKUP((H45/F45*30.4),TARIFA,2)-VLOOKUP((H45/F45*30.4),SUBSIDIO,2))/30.4*F45,2)&lt;0,ROUND(-(((H45/F45*30.4)-VLOOKUP((H45/F45*30.4),TARIFA,1))*VLOOKUP((H45/F45*30.4),TARIFA,3)+VLOOKUP((H45/F45*30.4),TARIFA,2)-VLOOKUP((H45/F45*30.4),SUBSIDIO,2))/30.4*F45,2),0),0)</f>
        <v>0</v>
      </c>
      <c r="J45" s="145">
        <f>IFERROR(IF(ROUND((((H45/F45*30.4)-VLOOKUP((H45/F45*30.4),TARIFA,1))*VLOOKUP((H45/F45*30.4),TARIFA,3)+VLOOKUP((H45/F45*30.4),TARIFA,2)-VLOOKUP((H45/F45*30.4),SUBSIDIO,2))/30.4*F45,2)&gt;0,ROUND((((H45/F45*30.4)-VLOOKUP((H45/F45*30.4),TARIFA,1))*VLOOKUP((H45/F45*30.4),TARIFA,3)+VLOOKUP((H45/F45*30.4),TARIFA,2)-VLOOKUP((H45/F45*30.4),SUBSIDIO,2))/30.4*F45,2),0),0)</f>
        <v>775.6</v>
      </c>
      <c r="K45" s="146">
        <v>0</v>
      </c>
      <c r="L45" s="145">
        <f t="shared" ref="L45:L57" si="1">H45+I45-J45</f>
        <v>5843.4</v>
      </c>
      <c r="M45" s="16"/>
      <c r="P45" s="51"/>
      <c r="Q45" s="52"/>
    </row>
    <row r="46" spans="2:17" ht="44.25" customHeight="1" x14ac:dyDescent="0.2">
      <c r="D46" s="143" t="s">
        <v>128</v>
      </c>
      <c r="E46" s="240" t="s">
        <v>129</v>
      </c>
      <c r="F46" s="241">
        <v>15</v>
      </c>
      <c r="G46" s="144">
        <v>3548</v>
      </c>
      <c r="H46" s="144">
        <v>3548</v>
      </c>
      <c r="I46" s="337">
        <f>IFERROR(IF(ROUND((((H46/F46*30.4)-VLOOKUP((H46/F46*30.4),TARIFA,1))*VLOOKUP((H46/F46*30.4),TARIFA,3)+VLOOKUP((H46/F46*30.4),TARIFA,2)-VLOOKUP((H46/F46*30.4),SUBSIDIO,2))/30.4*F46,2)&lt;0,ROUND(-(((H46/F46*30.4)-VLOOKUP((H46/F46*30.4),TARIFA,1))*VLOOKUP((H46/F46*30.4),TARIFA,3)+VLOOKUP((H46/F46*30.4),TARIFA,2)-VLOOKUP((H46/F46*30.4),SUBSIDIO,2))/30.4*F46,2),0),0)</f>
        <v>0</v>
      </c>
      <c r="J46" s="145">
        <f>IFERROR(IF(ROUND((((H46/F46*30.4)-VLOOKUP((H46/F46*30.4),TARIFA,1))*VLOOKUP((H46/F46*30.4),TARIFA,3)+VLOOKUP((H46/F46*30.4),TARIFA,2)-VLOOKUP((H46/F46*30.4),SUBSIDIO,2))/30.4*F46,2)&gt;0,ROUND((((H46/F46*30.4)-VLOOKUP((H46/F46*30.4),TARIFA,1))*VLOOKUP((H46/F46*30.4),TARIFA,3)+VLOOKUP((H46/F46*30.4),TARIFA,2)-VLOOKUP((H46/F46*30.4),SUBSIDIO,2))/30.4*F46,2),0),0)</f>
        <v>157.32</v>
      </c>
      <c r="K46" s="145">
        <v>0</v>
      </c>
      <c r="L46" s="145">
        <f t="shared" si="1"/>
        <v>3390.68</v>
      </c>
      <c r="M46" s="19"/>
      <c r="P46" s="51"/>
      <c r="Q46" s="52"/>
    </row>
    <row r="47" spans="2:17" ht="36.950000000000003" customHeight="1" x14ac:dyDescent="0.25">
      <c r="D47" s="141" t="s">
        <v>22</v>
      </c>
      <c r="E47" s="147"/>
      <c r="F47" s="142"/>
      <c r="G47" s="145"/>
      <c r="H47" s="145"/>
      <c r="I47" s="337"/>
      <c r="J47" s="145"/>
      <c r="K47" s="145"/>
      <c r="L47" s="145"/>
      <c r="M47" s="19"/>
      <c r="P47" s="51"/>
      <c r="Q47" s="52"/>
    </row>
    <row r="48" spans="2:17" ht="36.950000000000003" customHeight="1" x14ac:dyDescent="0.2">
      <c r="D48" s="147" t="s">
        <v>211</v>
      </c>
      <c r="E48" s="147" t="s">
        <v>23</v>
      </c>
      <c r="F48" s="142">
        <v>15</v>
      </c>
      <c r="G48" s="145">
        <v>13901</v>
      </c>
      <c r="H48" s="145">
        <v>13901</v>
      </c>
      <c r="I48" s="337">
        <f>IFERROR(IF(ROUND((((H48/F48*30.4)-VLOOKUP((H48/F48*30.4),TARIFA,1))*VLOOKUP((H48/F48*30.4),TARIFA,3)+VLOOKUP((H48/F48*30.4),TARIFA,2)-VLOOKUP((H48/F48*30.4),SUBSIDIO,2))/30.4*F48,2)&lt;0,ROUND(-(((H48/F48*30.4)-VLOOKUP((H48/F48*30.4),TARIFA,1))*VLOOKUP((H48/F48*30.4),TARIFA,3)+VLOOKUP((H48/F48*30.4),TARIFA,2)-VLOOKUP((H48/F48*30.4),SUBSIDIO,2))/30.4*F48,2),0),0)</f>
        <v>0</v>
      </c>
      <c r="J48" s="145">
        <f>IFERROR(IF(ROUND((((H48/F48*30.4)-VLOOKUP((H48/F48*30.4),TARIFA,1))*VLOOKUP((H48/F48*30.4),TARIFA,3)+VLOOKUP((H48/F48*30.4),TARIFA,2)-VLOOKUP((H48/F48*30.4),SUBSIDIO,2))/30.4*F48,2)&gt;0,ROUND((((H48/F48*30.4)-VLOOKUP((H48/F48*30.4),TARIFA,1))*VLOOKUP((H48/F48*30.4),TARIFA,3)+VLOOKUP((H48/F48*30.4),TARIFA,2)-VLOOKUP((H48/F48*30.4),SUBSIDIO,2))/30.4*F48,2),0),0)</f>
        <v>2373.14</v>
      </c>
      <c r="K48" s="145">
        <v>0</v>
      </c>
      <c r="L48" s="145">
        <f t="shared" si="1"/>
        <v>11527.86</v>
      </c>
      <c r="M48" s="19"/>
      <c r="P48" s="51"/>
      <c r="Q48" s="52"/>
    </row>
    <row r="49" spans="2:17" ht="36.950000000000003" customHeight="1" x14ac:dyDescent="0.2">
      <c r="D49" s="147" t="s">
        <v>24</v>
      </c>
      <c r="E49" s="147" t="s">
        <v>13</v>
      </c>
      <c r="F49" s="142">
        <v>15</v>
      </c>
      <c r="G49" s="145">
        <v>4160</v>
      </c>
      <c r="H49" s="145">
        <v>4160</v>
      </c>
      <c r="I49" s="337">
        <f>IFERROR(IF(ROUND((((H49/F49*30.4)-VLOOKUP((H49/F49*30.4),TARIFA,1))*VLOOKUP((H49/F49*30.4),TARIFA,3)+VLOOKUP((H49/F49*30.4),TARIFA,2)-VLOOKUP((H49/F49*30.4),SUBSIDIO,2))/30.4*F49,2)&lt;0,ROUND(-(((H49/F49*30.4)-VLOOKUP((H49/F49*30.4),TARIFA,1))*VLOOKUP((H49/F49*30.4),TARIFA,3)+VLOOKUP((H49/F49*30.4),TARIFA,2)-VLOOKUP((H49/F49*30.4),SUBSIDIO,2))/30.4*F49,2),0),0)</f>
        <v>0</v>
      </c>
      <c r="J49" s="145">
        <f>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</f>
        <v>331.28</v>
      </c>
      <c r="K49" s="145">
        <v>0</v>
      </c>
      <c r="L49" s="145">
        <f t="shared" si="1"/>
        <v>3828.7200000000003</v>
      </c>
      <c r="M49" s="19"/>
      <c r="P49" s="51"/>
      <c r="Q49" s="52"/>
    </row>
    <row r="50" spans="2:17" ht="36.950000000000003" customHeight="1" x14ac:dyDescent="0.2">
      <c r="D50" s="147" t="s">
        <v>102</v>
      </c>
      <c r="E50" s="147" t="s">
        <v>13</v>
      </c>
      <c r="F50" s="142">
        <v>15</v>
      </c>
      <c r="G50" s="144">
        <v>4160</v>
      </c>
      <c r="H50" s="144">
        <v>4160</v>
      </c>
      <c r="I50" s="337">
        <f>IFERROR(IF(ROUND((((H50/F50*30.4)-VLOOKUP((H50/F50*30.4),TARIFA,1))*VLOOKUP((H50/F50*30.4),TARIFA,3)+VLOOKUP((H50/F50*30.4),TARIFA,2)-VLOOKUP((H50/F50*30.4),SUBSIDIO,2))/30.4*F50,2)&lt;0,ROUND(-(((H50/F50*30.4)-VLOOKUP((H50/F50*30.4),TARIFA,1))*VLOOKUP((H50/F50*30.4),TARIFA,3)+VLOOKUP((H50/F50*30.4),TARIFA,2)-VLOOKUP((H50/F50*30.4),SUBSIDIO,2))/30.4*F50,2),0),0)</f>
        <v>0</v>
      </c>
      <c r="J50" s="145">
        <f>IFERROR(IF(ROUND((((H50/F50*30.4)-VLOOKUP((H50/F50*30.4),TARIFA,1))*VLOOKUP((H50/F50*30.4),TARIFA,3)+VLOOKUP((H50/F50*30.4),TARIFA,2)-VLOOKUP((H50/F50*30.4),SUBSIDIO,2))/30.4*F50,2)&gt;0,ROUND((((H50/F50*30.4)-VLOOKUP((H50/F50*30.4),TARIFA,1))*VLOOKUP((H50/F50*30.4),TARIFA,3)+VLOOKUP((H50/F50*30.4),TARIFA,2)-VLOOKUP((H50/F50*30.4),SUBSIDIO,2))/30.4*F50,2),0),0)</f>
        <v>331.28</v>
      </c>
      <c r="K50" s="145">
        <v>0</v>
      </c>
      <c r="L50" s="145">
        <f t="shared" si="1"/>
        <v>3828.7200000000003</v>
      </c>
      <c r="M50" s="19"/>
      <c r="P50" s="51"/>
      <c r="Q50" s="52"/>
    </row>
    <row r="51" spans="2:17" ht="36.950000000000003" customHeight="1" x14ac:dyDescent="0.2">
      <c r="D51" s="147" t="s">
        <v>25</v>
      </c>
      <c r="E51" s="147" t="s">
        <v>13</v>
      </c>
      <c r="F51" s="142">
        <v>15</v>
      </c>
      <c r="G51" s="145">
        <v>4160</v>
      </c>
      <c r="H51" s="145">
        <v>4160</v>
      </c>
      <c r="I51" s="337">
        <f>IFERROR(IF(ROUND((((H51/F51*30.4)-VLOOKUP((H51/F51*30.4),TARIFA,1))*VLOOKUP((H51/F51*30.4),TARIFA,3)+VLOOKUP((H51/F51*30.4),TARIFA,2)-VLOOKUP((H51/F51*30.4),SUBSIDIO,2))/30.4*F51,2)&lt;0,ROUND(-(((H51/F51*30.4)-VLOOKUP((H51/F51*30.4),TARIFA,1))*VLOOKUP((H51/F51*30.4),TARIFA,3)+VLOOKUP((H51/F51*30.4),TARIFA,2)-VLOOKUP((H51/F51*30.4),SUBSIDIO,2))/30.4*F51,2),0),0)</f>
        <v>0</v>
      </c>
      <c r="J51" s="145">
        <f>IFERROR(IF(ROUND((((H51/F51*30.4)-VLOOKUP((H51/F51*30.4),TARIFA,1))*VLOOKUP((H51/F51*30.4),TARIFA,3)+VLOOKUP((H51/F51*30.4),TARIFA,2)-VLOOKUP((H51/F51*30.4),SUBSIDIO,2))/30.4*F51,2)&gt;0,ROUND((((H51/F51*30.4)-VLOOKUP((H51/F51*30.4),TARIFA,1))*VLOOKUP((H51/F51*30.4),TARIFA,3)+VLOOKUP((H51/F51*30.4),TARIFA,2)-VLOOKUP((H51/F51*30.4),SUBSIDIO,2))/30.4*F51,2),0),0)</f>
        <v>331.28</v>
      </c>
      <c r="K51" s="145">
        <v>0</v>
      </c>
      <c r="L51" s="145">
        <f t="shared" si="1"/>
        <v>3828.7200000000003</v>
      </c>
      <c r="M51" s="19"/>
      <c r="P51" s="51"/>
      <c r="Q51" s="52"/>
    </row>
    <row r="52" spans="2:17" ht="36.950000000000003" customHeight="1" x14ac:dyDescent="0.25">
      <c r="D52" s="141" t="s">
        <v>88</v>
      </c>
      <c r="E52" s="147"/>
      <c r="F52" s="142"/>
      <c r="G52" s="145"/>
      <c r="H52" s="145"/>
      <c r="I52" s="337"/>
      <c r="J52" s="145"/>
      <c r="K52" s="145"/>
      <c r="L52" s="145"/>
      <c r="M52" s="19"/>
      <c r="P52" s="51"/>
      <c r="Q52" s="52"/>
    </row>
    <row r="53" spans="2:17" ht="43.5" customHeight="1" x14ac:dyDescent="0.2">
      <c r="D53" s="147" t="s">
        <v>54</v>
      </c>
      <c r="E53" s="148" t="s">
        <v>212</v>
      </c>
      <c r="F53" s="142">
        <v>15</v>
      </c>
      <c r="G53" s="145">
        <v>3758</v>
      </c>
      <c r="H53" s="145">
        <v>3758</v>
      </c>
      <c r="I53" s="337">
        <f>IFERROR(IF(ROUND((((H53/F53*30.4)-VLOOKUP((H53/F53*30.4),TARIFA,1))*VLOOKUP((H53/F53*30.4),TARIFA,3)+VLOOKUP((H53/F53*30.4),TARIFA,2)-VLOOKUP((H53/F53*30.4),SUBSIDIO,2))/30.4*F53,2)&lt;0,ROUND(-(((H53/F53*30.4)-VLOOKUP((H53/F53*30.4),TARIFA,1))*VLOOKUP((H53/F53*30.4),TARIFA,3)+VLOOKUP((H53/F53*30.4),TARIFA,2)-VLOOKUP((H53/F53*30.4),SUBSIDIO,2))/30.4*F53,2),0),0)</f>
        <v>0</v>
      </c>
      <c r="J53" s="145">
        <f>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</f>
        <v>287.54000000000002</v>
      </c>
      <c r="K53" s="145">
        <v>0</v>
      </c>
      <c r="L53" s="145">
        <f t="shared" si="1"/>
        <v>3470.46</v>
      </c>
      <c r="M53" s="19"/>
      <c r="P53" s="51"/>
      <c r="Q53" s="52"/>
    </row>
    <row r="54" spans="2:17" ht="36.950000000000003" customHeight="1" x14ac:dyDescent="0.25">
      <c r="D54" s="141" t="s">
        <v>26</v>
      </c>
      <c r="E54" s="147"/>
      <c r="F54" s="142"/>
      <c r="G54" s="145"/>
      <c r="H54" s="145"/>
      <c r="I54" s="337"/>
      <c r="J54" s="145"/>
      <c r="K54" s="145"/>
      <c r="L54" s="145"/>
      <c r="M54" s="19"/>
      <c r="P54" s="51"/>
      <c r="Q54" s="52"/>
    </row>
    <row r="55" spans="2:17" ht="36.950000000000003" customHeight="1" x14ac:dyDescent="0.2">
      <c r="D55" s="147" t="s">
        <v>168</v>
      </c>
      <c r="E55" s="147" t="s">
        <v>27</v>
      </c>
      <c r="F55" s="142">
        <v>15</v>
      </c>
      <c r="G55" s="145">
        <v>8206</v>
      </c>
      <c r="H55" s="145">
        <v>8206</v>
      </c>
      <c r="I55" s="337">
        <f>IFERROR(IF(ROUND((((H55/F55*30.4)-VLOOKUP((H55/F55*30.4),TARIFA,1))*VLOOKUP((H55/F55*30.4),TARIFA,3)+VLOOKUP((H55/F55*30.4),TARIFA,2)-VLOOKUP((H55/F55*30.4),SUBSIDIO,2))/30.4*F55,2)&lt;0,ROUND(-(((H55/F55*30.4)-VLOOKUP((H55/F55*30.4),TARIFA,1))*VLOOKUP((H55/F55*30.4),TARIFA,3)+VLOOKUP((H55/F55*30.4),TARIFA,2)-VLOOKUP((H55/F55*30.4),SUBSIDIO,2))/30.4*F55,2),0),0)</f>
        <v>0</v>
      </c>
      <c r="J55" s="145">
        <f>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</f>
        <v>1114.58</v>
      </c>
      <c r="K55" s="145">
        <v>0</v>
      </c>
      <c r="L55" s="145">
        <f t="shared" si="1"/>
        <v>7091.42</v>
      </c>
      <c r="M55" s="19"/>
      <c r="P55" s="51"/>
      <c r="Q55" s="52"/>
    </row>
    <row r="56" spans="2:17" ht="36.950000000000003" customHeight="1" x14ac:dyDescent="0.2">
      <c r="D56" s="147" t="s">
        <v>78</v>
      </c>
      <c r="E56" s="147" t="s">
        <v>69</v>
      </c>
      <c r="F56" s="142">
        <v>15</v>
      </c>
      <c r="G56" s="145">
        <v>4516</v>
      </c>
      <c r="H56" s="145">
        <v>4516</v>
      </c>
      <c r="I56" s="337">
        <f>IFERROR(IF(ROUND((((H56/F56*30.4)-VLOOKUP((H56/F56*30.4),TARIFA,1))*VLOOKUP((H56/F56*30.4),TARIFA,3)+VLOOKUP((H56/F56*30.4),TARIFA,2)-VLOOKUP((H56/F56*30.4),SUBSIDIO,2))/30.4*F56,2)&lt;0,ROUND(-(((H56/F56*30.4)-VLOOKUP((H56/F56*30.4),TARIFA,1))*VLOOKUP((H56/F56*30.4),TARIFA,3)+VLOOKUP((H56/F56*30.4),TARIFA,2)-VLOOKUP((H56/F56*30.4),SUBSIDIO,2))/30.4*F56,2),0),0)</f>
        <v>0</v>
      </c>
      <c r="J56" s="145">
        <f>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</f>
        <v>383.23</v>
      </c>
      <c r="K56" s="145">
        <v>0</v>
      </c>
      <c r="L56" s="145">
        <f t="shared" si="1"/>
        <v>4132.7700000000004</v>
      </c>
      <c r="M56" s="19"/>
      <c r="P56" s="51"/>
      <c r="Q56" s="52"/>
    </row>
    <row r="57" spans="2:17" ht="36.950000000000003" customHeight="1" x14ac:dyDescent="0.2">
      <c r="D57" s="147" t="s">
        <v>204</v>
      </c>
      <c r="E57" s="147" t="s">
        <v>69</v>
      </c>
      <c r="F57" s="142">
        <v>15</v>
      </c>
      <c r="G57" s="145">
        <v>6016</v>
      </c>
      <c r="H57" s="145">
        <v>6016</v>
      </c>
      <c r="I57" s="337">
        <f>IFERROR(IF(ROUND((((H57/F57*30.4)-VLOOKUP((H57/F57*30.4),TARIFA,1))*VLOOKUP((H57/F57*30.4),TARIFA,3)+VLOOKUP((H57/F57*30.4),TARIFA,2)-VLOOKUP((H57/F57*30.4),SUBSIDIO,2))/30.4*F57,2)&lt;0,ROUND(-(((H57/F57*30.4)-VLOOKUP((H57/F57*30.4),TARIFA,1))*VLOOKUP((H57/F57*30.4),TARIFA,3)+VLOOKUP((H57/F57*30.4),TARIFA,2)-VLOOKUP((H57/F57*30.4),SUBSIDIO,2))/30.4*F57,2),0),0)</f>
        <v>0</v>
      </c>
      <c r="J57" s="145">
        <f>IFERROR(IF(ROUND((((H57/F57*30.4)-VLOOKUP((H57/F57*30.4),TARIFA,1))*VLOOKUP((H57/F57*30.4),TARIFA,3)+VLOOKUP((H57/F57*30.4),TARIFA,2)-VLOOKUP((H57/F57*30.4),SUBSIDIO,2))/30.4*F57,2)&gt;0,ROUND((((H57/F57*30.4)-VLOOKUP((H57/F57*30.4),TARIFA,1))*VLOOKUP((H57/F57*30.4),TARIFA,3)+VLOOKUP((H57/F57*30.4),TARIFA,2)-VLOOKUP((H57/F57*30.4),SUBSIDIO,2))/30.4*F57,2),0),0)</f>
        <v>646.79999999999995</v>
      </c>
      <c r="K57" s="145">
        <v>0</v>
      </c>
      <c r="L57" s="145">
        <f t="shared" si="1"/>
        <v>5369.2</v>
      </c>
      <c r="M57" s="19"/>
      <c r="P57" s="51"/>
      <c r="Q57" s="52"/>
    </row>
    <row r="58" spans="2:17" ht="36.950000000000003" customHeight="1" x14ac:dyDescent="0.2">
      <c r="D58" s="8"/>
      <c r="E58" s="4"/>
      <c r="F58" s="5"/>
      <c r="G58" s="19">
        <f>G57+G56+G55+G53+G51+G50+G49+G48+G46+G45</f>
        <v>59044</v>
      </c>
      <c r="H58" s="19">
        <f>H57+H56+H55+H53+H51+H50+H49+H48+H46+H45</f>
        <v>59044</v>
      </c>
      <c r="I58" s="340"/>
      <c r="J58" s="19"/>
      <c r="K58" s="19"/>
      <c r="L58" s="63"/>
      <c r="M58" s="19"/>
      <c r="P58" s="51"/>
      <c r="Q58" s="52"/>
    </row>
    <row r="59" spans="2:17" ht="21.95" customHeight="1" x14ac:dyDescent="0.3">
      <c r="B59" s="37"/>
      <c r="C59" s="37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P59" s="51"/>
      <c r="Q59" s="52"/>
    </row>
    <row r="60" spans="2:17" ht="21.95" customHeight="1" x14ac:dyDescent="0.3">
      <c r="B60" s="37"/>
      <c r="C60" s="37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P60" s="51"/>
      <c r="Q60" s="52"/>
    </row>
    <row r="61" spans="2:17" ht="21.95" customHeight="1" x14ac:dyDescent="0.3">
      <c r="B61" s="37"/>
      <c r="C61" s="37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P61" s="51"/>
      <c r="Q61" s="52"/>
    </row>
    <row r="62" spans="2:17" ht="21.95" customHeight="1" x14ac:dyDescent="0.3">
      <c r="B62" s="37"/>
      <c r="C62" s="37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P62" s="51"/>
      <c r="Q62" s="52"/>
    </row>
    <row r="63" spans="2:17" ht="21.95" customHeight="1" x14ac:dyDescent="0.2">
      <c r="B63" s="37"/>
      <c r="C63" s="37"/>
      <c r="D63" s="103"/>
      <c r="E63" s="103"/>
      <c r="F63" s="95" t="s">
        <v>3</v>
      </c>
      <c r="G63" s="104"/>
      <c r="H63" s="412" t="s">
        <v>151</v>
      </c>
      <c r="I63" s="413"/>
      <c r="J63" s="412"/>
      <c r="K63" s="414"/>
      <c r="L63" s="414"/>
      <c r="M63" s="95"/>
      <c r="P63" s="51"/>
      <c r="Q63" s="52"/>
    </row>
    <row r="64" spans="2:17" ht="18.75" customHeight="1" x14ac:dyDescent="0.2">
      <c r="B64" s="37"/>
      <c r="C64" s="37"/>
      <c r="D64" s="91"/>
      <c r="E64" s="91"/>
      <c r="F64" s="94" t="s">
        <v>4</v>
      </c>
      <c r="G64" s="95" t="s">
        <v>1</v>
      </c>
      <c r="H64" s="95" t="s">
        <v>152</v>
      </c>
      <c r="I64" s="333" t="s">
        <v>155</v>
      </c>
      <c r="J64" s="96"/>
      <c r="K64" s="96" t="s">
        <v>169</v>
      </c>
      <c r="L64" s="96" t="s">
        <v>154</v>
      </c>
      <c r="M64" s="91" t="s">
        <v>159</v>
      </c>
      <c r="P64" s="51"/>
      <c r="Q64" s="52"/>
    </row>
    <row r="65" spans="2:21" ht="21.95" customHeight="1" x14ac:dyDescent="0.25">
      <c r="B65" s="37"/>
      <c r="C65" s="37"/>
      <c r="D65" s="97"/>
      <c r="E65" s="97" t="s">
        <v>8</v>
      </c>
      <c r="F65" s="91"/>
      <c r="G65" s="91" t="s">
        <v>6</v>
      </c>
      <c r="H65" s="91" t="s">
        <v>154</v>
      </c>
      <c r="I65" s="334" t="s">
        <v>156</v>
      </c>
      <c r="J65" s="95" t="s">
        <v>157</v>
      </c>
      <c r="K65" s="95" t="s">
        <v>171</v>
      </c>
      <c r="L65" s="95" t="s">
        <v>160</v>
      </c>
      <c r="M65" s="91"/>
      <c r="P65" s="51"/>
      <c r="Q65" s="52"/>
    </row>
    <row r="66" spans="2:21" ht="21.75" customHeight="1" x14ac:dyDescent="0.25">
      <c r="B66" s="37"/>
      <c r="C66" s="37"/>
      <c r="D66" s="98" t="s">
        <v>11</v>
      </c>
      <c r="E66" s="98" t="s">
        <v>7</v>
      </c>
      <c r="F66" s="96"/>
      <c r="G66" s="96"/>
      <c r="H66" s="96"/>
      <c r="I66" s="335"/>
      <c r="J66" s="96"/>
      <c r="K66" s="96"/>
      <c r="L66" s="96"/>
      <c r="M66" s="96"/>
      <c r="P66" s="51"/>
      <c r="Q66" s="52"/>
    </row>
    <row r="67" spans="2:21" ht="36.950000000000003" customHeight="1" x14ac:dyDescent="0.25">
      <c r="B67" s="37"/>
      <c r="C67" s="37"/>
      <c r="D67" s="141" t="s">
        <v>28</v>
      </c>
      <c r="E67" s="147"/>
      <c r="F67" s="142"/>
      <c r="G67" s="145"/>
      <c r="H67" s="145"/>
      <c r="I67" s="337"/>
      <c r="J67" s="145"/>
      <c r="K67" s="145"/>
      <c r="L67" s="146"/>
      <c r="M67" s="131"/>
      <c r="P67" s="51"/>
      <c r="Q67" s="52"/>
    </row>
    <row r="68" spans="2:21" ht="36.950000000000003" customHeight="1" x14ac:dyDescent="0.2">
      <c r="B68" s="37"/>
      <c r="C68" s="37"/>
      <c r="D68" s="157" t="s">
        <v>31</v>
      </c>
      <c r="E68" s="147" t="s">
        <v>30</v>
      </c>
      <c r="F68" s="142">
        <v>15</v>
      </c>
      <c r="G68" s="145">
        <v>3771</v>
      </c>
      <c r="H68" s="145">
        <v>3771</v>
      </c>
      <c r="I68" s="337">
        <f t="shared" ref="I68:I73" si="2">IFERROR(IF(ROUND((((H68/F68*30.4)-VLOOKUP((H68/F68*30.4),TARIFA,1))*VLOOKUP((H68/F68*30.4),TARIFA,3)+VLOOKUP((H68/F68*30.4),TARIFA,2)-VLOOKUP((H68/F68*30.4),SUBSIDIO,2))/30.4*F68,2)&lt;0,ROUND(-(((H68/F68*30.4)-VLOOKUP((H68/F68*30.4),TARIFA,1))*VLOOKUP((H68/F68*30.4),TARIFA,3)+VLOOKUP((H68/F68*30.4),TARIFA,2)-VLOOKUP((H68/F68*30.4),SUBSIDIO,2))/30.4*F68,2),0),0)</f>
        <v>0</v>
      </c>
      <c r="J68" s="145">
        <f t="shared" ref="J68:J73" si="3">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</f>
        <v>288.95</v>
      </c>
      <c r="K68" s="145">
        <v>0</v>
      </c>
      <c r="L68" s="145">
        <f t="shared" ref="L68:L81" si="4">H68+I68-J68</f>
        <v>3482.05</v>
      </c>
      <c r="M68" s="132"/>
      <c r="P68" s="51"/>
      <c r="Q68" s="52"/>
    </row>
    <row r="69" spans="2:21" ht="36.950000000000003" customHeight="1" x14ac:dyDescent="0.2">
      <c r="B69" s="37"/>
      <c r="C69" s="37"/>
      <c r="D69" s="157" t="s">
        <v>79</v>
      </c>
      <c r="E69" s="147" t="s">
        <v>30</v>
      </c>
      <c r="F69" s="142">
        <v>15</v>
      </c>
      <c r="G69" s="145">
        <v>3087</v>
      </c>
      <c r="H69" s="145">
        <v>3087</v>
      </c>
      <c r="I69" s="337">
        <f t="shared" si="2"/>
        <v>0</v>
      </c>
      <c r="J69" s="145">
        <f t="shared" si="3"/>
        <v>89.43</v>
      </c>
      <c r="K69" s="145">
        <v>0</v>
      </c>
      <c r="L69" s="145">
        <f t="shared" si="4"/>
        <v>2997.57</v>
      </c>
      <c r="M69" s="132"/>
      <c r="P69" s="51"/>
      <c r="Q69" s="52"/>
    </row>
    <row r="70" spans="2:21" ht="36.950000000000003" customHeight="1" x14ac:dyDescent="0.2">
      <c r="B70" s="37"/>
      <c r="C70" s="37"/>
      <c r="D70" s="157" t="s">
        <v>33</v>
      </c>
      <c r="E70" s="147" t="s">
        <v>30</v>
      </c>
      <c r="F70" s="142">
        <v>15</v>
      </c>
      <c r="G70" s="145">
        <v>2439</v>
      </c>
      <c r="H70" s="145">
        <v>2439</v>
      </c>
      <c r="I70" s="337">
        <f t="shared" si="2"/>
        <v>16.27</v>
      </c>
      <c r="J70" s="145">
        <f t="shared" si="3"/>
        <v>0</v>
      </c>
      <c r="K70" s="145">
        <v>0</v>
      </c>
      <c r="L70" s="145">
        <f t="shared" si="4"/>
        <v>2455.27</v>
      </c>
      <c r="M70" s="132"/>
      <c r="P70" s="51"/>
      <c r="Q70" s="52"/>
    </row>
    <row r="71" spans="2:21" ht="36.950000000000003" customHeight="1" x14ac:dyDescent="0.2">
      <c r="B71" s="37"/>
      <c r="C71" s="37"/>
      <c r="D71" s="157" t="s">
        <v>35</v>
      </c>
      <c r="E71" s="147" t="s">
        <v>36</v>
      </c>
      <c r="F71" s="142">
        <v>15</v>
      </c>
      <c r="G71" s="145">
        <v>3030</v>
      </c>
      <c r="H71" s="145">
        <v>3030</v>
      </c>
      <c r="I71" s="337">
        <f t="shared" si="2"/>
        <v>0</v>
      </c>
      <c r="J71" s="145">
        <f t="shared" si="3"/>
        <v>62.96</v>
      </c>
      <c r="K71" s="145">
        <v>0</v>
      </c>
      <c r="L71" s="145">
        <f t="shared" si="4"/>
        <v>2967.04</v>
      </c>
      <c r="M71" s="132"/>
      <c r="P71" s="51"/>
      <c r="Q71" s="52"/>
    </row>
    <row r="72" spans="2:21" ht="36.950000000000003" customHeight="1" x14ac:dyDescent="0.2">
      <c r="B72" s="37"/>
      <c r="C72" s="37"/>
      <c r="D72" s="157" t="s">
        <v>71</v>
      </c>
      <c r="E72" s="147" t="s">
        <v>36</v>
      </c>
      <c r="F72" s="142">
        <v>15</v>
      </c>
      <c r="G72" s="145">
        <v>3030</v>
      </c>
      <c r="H72" s="145">
        <v>3030</v>
      </c>
      <c r="I72" s="337">
        <f t="shared" si="2"/>
        <v>0</v>
      </c>
      <c r="J72" s="145">
        <f t="shared" si="3"/>
        <v>62.96</v>
      </c>
      <c r="K72" s="145">
        <v>0</v>
      </c>
      <c r="L72" s="145">
        <f t="shared" si="4"/>
        <v>2967.04</v>
      </c>
      <c r="M72" s="132"/>
      <c r="P72" s="51"/>
      <c r="Q72" s="52"/>
    </row>
    <row r="73" spans="2:21" ht="36.950000000000003" customHeight="1" x14ac:dyDescent="0.2">
      <c r="B73" s="37"/>
      <c r="C73" s="37"/>
      <c r="D73" s="158" t="s">
        <v>140</v>
      </c>
      <c r="E73" s="147" t="s">
        <v>30</v>
      </c>
      <c r="F73" s="142">
        <v>15</v>
      </c>
      <c r="G73" s="144">
        <v>2984</v>
      </c>
      <c r="H73" s="144">
        <v>2984</v>
      </c>
      <c r="I73" s="337">
        <f t="shared" si="2"/>
        <v>0</v>
      </c>
      <c r="J73" s="145">
        <f t="shared" si="3"/>
        <v>57.95</v>
      </c>
      <c r="K73" s="145">
        <v>0</v>
      </c>
      <c r="L73" s="145">
        <f t="shared" si="4"/>
        <v>2926.05</v>
      </c>
      <c r="M73" s="132"/>
      <c r="P73" s="51"/>
      <c r="Q73" s="52"/>
    </row>
    <row r="74" spans="2:21" ht="1.5" customHeight="1" x14ac:dyDescent="0.2">
      <c r="B74" s="37"/>
      <c r="C74" s="37"/>
      <c r="D74" s="157"/>
      <c r="E74" s="147"/>
      <c r="F74" s="142"/>
      <c r="G74" s="144"/>
      <c r="H74" s="144"/>
      <c r="I74" s="337"/>
      <c r="J74" s="145"/>
      <c r="K74" s="144"/>
      <c r="L74" s="145"/>
      <c r="M74" s="132"/>
      <c r="P74" s="144"/>
      <c r="Q74" s="144"/>
      <c r="R74" s="144"/>
      <c r="S74" s="144"/>
      <c r="T74" s="144">
        <v>0</v>
      </c>
      <c r="U74" s="146">
        <f>Q74+R74-S74-T74</f>
        <v>0</v>
      </c>
    </row>
    <row r="75" spans="2:21" ht="36.950000000000003" customHeight="1" x14ac:dyDescent="0.25">
      <c r="D75" s="159" t="s">
        <v>172</v>
      </c>
      <c r="E75" s="147"/>
      <c r="F75" s="142"/>
      <c r="G75" s="145"/>
      <c r="H75" s="145"/>
      <c r="I75" s="337"/>
      <c r="J75" s="145"/>
      <c r="K75" s="145"/>
      <c r="L75" s="145"/>
      <c r="M75" s="19"/>
      <c r="P75" s="51"/>
      <c r="Q75" s="52"/>
    </row>
    <row r="76" spans="2:21" ht="34.5" customHeight="1" x14ac:dyDescent="0.2">
      <c r="D76" s="157" t="s">
        <v>135</v>
      </c>
      <c r="E76" s="147" t="s">
        <v>13</v>
      </c>
      <c r="F76" s="142">
        <v>15</v>
      </c>
      <c r="G76" s="145">
        <v>3855</v>
      </c>
      <c r="H76" s="145">
        <v>3855</v>
      </c>
      <c r="I76" s="337">
        <f>IFERROR(IF(ROUND((((H76/F76*30.4)-VLOOKUP((H76/F76*30.4),TARIFA,1))*VLOOKUP((H76/F76*30.4),TARIFA,3)+VLOOKUP((H76/F76*30.4),TARIFA,2)-VLOOKUP((H76/F76*30.4),SUBSIDIO,2))/30.4*F76,2)&lt;0,ROUND(-(((H76/F76*30.4)-VLOOKUP((H76/F76*30.4),TARIFA,1))*VLOOKUP((H76/F76*30.4),TARIFA,3)+VLOOKUP((H76/F76*30.4),TARIFA,2)-VLOOKUP((H76/F76*30.4),SUBSIDIO,2))/30.4*F76,2),0),0)</f>
        <v>0</v>
      </c>
      <c r="J76" s="145">
        <f>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</f>
        <v>298.08999999999997</v>
      </c>
      <c r="K76" s="145">
        <v>0</v>
      </c>
      <c r="L76" s="145">
        <f t="shared" si="4"/>
        <v>3556.91</v>
      </c>
      <c r="M76" s="19"/>
      <c r="P76" s="51"/>
      <c r="Q76" s="52"/>
    </row>
    <row r="77" spans="2:21" ht="1.5" hidden="1" customHeight="1" x14ac:dyDescent="0.2">
      <c r="D77" s="157"/>
      <c r="E77" s="147"/>
      <c r="F77" s="142"/>
      <c r="G77" s="145"/>
      <c r="H77" s="145"/>
      <c r="I77" s="337"/>
      <c r="J77" s="145"/>
      <c r="K77" s="145"/>
      <c r="L77" s="145"/>
      <c r="M77" s="19"/>
      <c r="P77" s="51"/>
      <c r="Q77" s="52"/>
    </row>
    <row r="78" spans="2:21" ht="36.950000000000003" hidden="1" customHeight="1" x14ac:dyDescent="0.2">
      <c r="D78" s="247"/>
      <c r="E78" s="147"/>
      <c r="F78" s="142"/>
      <c r="G78" s="145"/>
      <c r="H78" s="145"/>
      <c r="I78" s="337"/>
      <c r="J78" s="145"/>
      <c r="K78" s="145">
        <v>0</v>
      </c>
      <c r="L78" s="145">
        <f t="shared" si="4"/>
        <v>0</v>
      </c>
      <c r="M78" s="19"/>
      <c r="P78" s="51"/>
      <c r="Q78" s="52"/>
    </row>
    <row r="79" spans="2:21" ht="3" hidden="1" customHeight="1" x14ac:dyDescent="0.2">
      <c r="D79" s="157"/>
      <c r="E79" s="147"/>
      <c r="F79" s="142"/>
      <c r="G79" s="145"/>
      <c r="H79" s="145"/>
      <c r="I79" s="337"/>
      <c r="J79" s="145"/>
      <c r="K79" s="145"/>
      <c r="L79" s="145"/>
      <c r="M79" s="19"/>
      <c r="P79" s="51"/>
      <c r="Q79" s="52"/>
    </row>
    <row r="80" spans="2:21" ht="36.950000000000003" customHeight="1" x14ac:dyDescent="0.25">
      <c r="D80" s="159" t="s">
        <v>44</v>
      </c>
      <c r="E80" s="147"/>
      <c r="F80" s="142"/>
      <c r="G80" s="145"/>
      <c r="H80" s="145"/>
      <c r="I80" s="337"/>
      <c r="J80" s="145"/>
      <c r="K80" s="145"/>
      <c r="L80" s="145"/>
      <c r="M80" s="19"/>
      <c r="P80" s="51"/>
      <c r="Q80" s="52"/>
    </row>
    <row r="81" spans="4:17" ht="36.950000000000003" customHeight="1" x14ac:dyDescent="0.2">
      <c r="D81" s="157" t="s">
        <v>45</v>
      </c>
      <c r="E81" s="148" t="s">
        <v>85</v>
      </c>
      <c r="F81" s="142">
        <v>15</v>
      </c>
      <c r="G81" s="160">
        <v>2116</v>
      </c>
      <c r="H81" s="145">
        <v>2116</v>
      </c>
      <c r="I81" s="337">
        <f>IFERROR(IF(ROUND((((H81/F81*30.4)-VLOOKUP((H81/F81*30.4),TARIFA,1))*VLOOKUP((H81/F81*30.4),TARIFA,3)+VLOOKUP((H81/F81*30.4),TARIFA,2)-VLOOKUP((H81/F81*30.4),SUBSIDIO,2))/30.4*F81,2)&lt;0,ROUND(-(((H81/F81*30.4)-VLOOKUP((H81/F81*30.4),TARIFA,1))*VLOOKUP((H81/F81*30.4),TARIFA,3)+VLOOKUP((H81/F81*30.4),TARIFA,2)-VLOOKUP((H81/F81*30.4),SUBSIDIO,2))/30.4*F81,2),0),0)</f>
        <v>66.08</v>
      </c>
      <c r="J81" s="145">
        <f>IFERROR(IF(ROUND((((H81/F81*30.4)-VLOOKUP((H81/F81*30.4),TARIFA,1))*VLOOKUP((H81/F81*30.4),TARIFA,3)+VLOOKUP((H81/F81*30.4),TARIFA,2)-VLOOKUP((H81/F81*30.4),SUBSIDIO,2))/30.4*F81,2)&gt;0,ROUND((((H81/F81*30.4)-VLOOKUP((H81/F81*30.4),TARIFA,1))*VLOOKUP((H81/F81*30.4),TARIFA,3)+VLOOKUP((H81/F81*30.4),TARIFA,2)-VLOOKUP((H81/F81*30.4),SUBSIDIO,2))/30.4*F81,2),0),0)</f>
        <v>0</v>
      </c>
      <c r="K81" s="145">
        <v>0</v>
      </c>
      <c r="L81" s="145">
        <f t="shared" si="4"/>
        <v>2182.08</v>
      </c>
      <c r="M81" s="19"/>
      <c r="P81" s="51"/>
      <c r="Q81" s="52"/>
    </row>
    <row r="82" spans="4:17" ht="36.950000000000003" customHeight="1" x14ac:dyDescent="0.2">
      <c r="D82" s="85"/>
      <c r="E82" s="85"/>
      <c r="F82" s="77"/>
      <c r="G82" s="86">
        <f>G81+G76+G74+G73+G72+G71+G70+G69+G68</f>
        <v>24312</v>
      </c>
      <c r="H82" s="87">
        <f>H81+H76+H74+H73+H72+H71+H70+H69+H68</f>
        <v>24312</v>
      </c>
      <c r="I82" s="341"/>
      <c r="J82" s="86"/>
      <c r="K82" s="86"/>
      <c r="L82" s="78"/>
      <c r="M82" s="78"/>
      <c r="N82" s="88"/>
      <c r="P82" s="51"/>
      <c r="Q82" s="52"/>
    </row>
    <row r="83" spans="4:17" ht="21.95" customHeight="1" x14ac:dyDescent="0.3"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P83" s="51"/>
      <c r="Q83" s="52"/>
    </row>
    <row r="84" spans="4:17" ht="21.95" customHeight="1" x14ac:dyDescent="0.3">
      <c r="D84" s="415"/>
      <c r="E84" s="415"/>
      <c r="F84" s="415"/>
      <c r="G84" s="415"/>
      <c r="H84" s="415"/>
      <c r="I84" s="415"/>
      <c r="J84" s="415"/>
      <c r="K84" s="415"/>
      <c r="L84" s="415"/>
      <c r="M84" s="415"/>
      <c r="P84" s="51"/>
      <c r="Q84" s="52"/>
    </row>
    <row r="85" spans="4:17" ht="21.95" customHeight="1" x14ac:dyDescent="0.3">
      <c r="D85" s="415"/>
      <c r="E85" s="415"/>
      <c r="F85" s="415"/>
      <c r="G85" s="415"/>
      <c r="H85" s="415"/>
      <c r="I85" s="415"/>
      <c r="J85" s="415"/>
      <c r="K85" s="415"/>
      <c r="L85" s="415"/>
      <c r="M85" s="415"/>
      <c r="P85" s="51"/>
      <c r="Q85" s="52"/>
    </row>
    <row r="86" spans="4:17" ht="21.95" customHeight="1" x14ac:dyDescent="0.3">
      <c r="D86" s="415"/>
      <c r="E86" s="415"/>
      <c r="F86" s="415"/>
      <c r="G86" s="415"/>
      <c r="H86" s="415"/>
      <c r="I86" s="415"/>
      <c r="J86" s="415"/>
      <c r="K86" s="415"/>
      <c r="L86" s="415"/>
      <c r="M86" s="415"/>
      <c r="P86" s="51"/>
      <c r="Q86" s="52"/>
    </row>
    <row r="87" spans="4:17" ht="21.95" customHeight="1" x14ac:dyDescent="0.2">
      <c r="D87" s="103"/>
      <c r="E87" s="103"/>
      <c r="F87" s="95" t="s">
        <v>3</v>
      </c>
      <c r="G87" s="104"/>
      <c r="H87" s="412" t="s">
        <v>151</v>
      </c>
      <c r="I87" s="413"/>
      <c r="J87" s="412"/>
      <c r="K87" s="414"/>
      <c r="L87" s="414"/>
      <c r="M87" s="95"/>
      <c r="P87" s="51"/>
      <c r="Q87" s="52"/>
    </row>
    <row r="88" spans="4:17" ht="13.5" customHeight="1" x14ac:dyDescent="0.2">
      <c r="D88" s="91"/>
      <c r="E88" s="91"/>
      <c r="F88" s="94" t="s">
        <v>4</v>
      </c>
      <c r="G88" s="95" t="s">
        <v>1</v>
      </c>
      <c r="H88" s="95" t="s">
        <v>152</v>
      </c>
      <c r="I88" s="333" t="s">
        <v>155</v>
      </c>
      <c r="J88" s="96"/>
      <c r="K88" s="96" t="s">
        <v>170</v>
      </c>
      <c r="L88" s="96" t="s">
        <v>154</v>
      </c>
      <c r="M88" s="91" t="s">
        <v>159</v>
      </c>
      <c r="P88" s="51"/>
      <c r="Q88" s="52"/>
    </row>
    <row r="89" spans="4:17" ht="21.95" customHeight="1" x14ac:dyDescent="0.25">
      <c r="D89" s="97"/>
      <c r="E89" s="97" t="s">
        <v>8</v>
      </c>
      <c r="F89" s="91"/>
      <c r="G89" s="91" t="s">
        <v>6</v>
      </c>
      <c r="H89" s="91" t="s">
        <v>154</v>
      </c>
      <c r="I89" s="334" t="s">
        <v>156</v>
      </c>
      <c r="J89" s="95" t="s">
        <v>157</v>
      </c>
      <c r="K89" s="95" t="s">
        <v>171</v>
      </c>
      <c r="L89" s="95" t="s">
        <v>160</v>
      </c>
      <c r="M89" s="91"/>
      <c r="P89" s="51"/>
      <c r="Q89" s="52"/>
    </row>
    <row r="90" spans="4:17" ht="21.95" customHeight="1" x14ac:dyDescent="0.25">
      <c r="D90" s="98" t="s">
        <v>11</v>
      </c>
      <c r="E90" s="98" t="s">
        <v>7</v>
      </c>
      <c r="F90" s="96"/>
      <c r="G90" s="96"/>
      <c r="H90" s="96"/>
      <c r="I90" s="335"/>
      <c r="J90" s="96"/>
      <c r="K90" s="96"/>
      <c r="L90" s="96"/>
      <c r="M90" s="96"/>
      <c r="P90" s="51"/>
      <c r="Q90" s="52"/>
    </row>
    <row r="91" spans="4:17" ht="36.950000000000003" customHeight="1" x14ac:dyDescent="0.25">
      <c r="D91" s="161" t="s">
        <v>46</v>
      </c>
      <c r="E91" s="162"/>
      <c r="F91" s="163"/>
      <c r="G91" s="164"/>
      <c r="H91" s="164"/>
      <c r="I91" s="342"/>
      <c r="J91" s="146"/>
      <c r="K91" s="146"/>
      <c r="L91" s="146"/>
      <c r="M91" s="63"/>
      <c r="P91" s="51"/>
      <c r="Q91" s="52"/>
    </row>
    <row r="92" spans="4:17" ht="36.950000000000003" customHeight="1" x14ac:dyDescent="0.2">
      <c r="D92" s="147" t="s">
        <v>238</v>
      </c>
      <c r="E92" s="148" t="s">
        <v>115</v>
      </c>
      <c r="F92" s="142">
        <v>15</v>
      </c>
      <c r="G92" s="145">
        <v>1331</v>
      </c>
      <c r="H92" s="145">
        <v>1331</v>
      </c>
      <c r="I92" s="337">
        <f t="shared" ref="I92:I98" si="5">IFERROR(IF(ROUND((((H92/F92*30.4)-VLOOKUP((H92/F92*30.4),TARIFA,1))*VLOOKUP((H92/F92*30.4),TARIFA,3)+VLOOKUP((H92/F92*30.4),TARIFA,2)-VLOOKUP((H92/F92*30.4),SUBSIDIO,2))/30.4*F92,2)&lt;0,ROUND(-(((H92/F92*30.4)-VLOOKUP((H92/F92*30.4),TARIFA,1))*VLOOKUP((H92/F92*30.4),TARIFA,3)+VLOOKUP((H92/F92*30.4),TARIFA,2)-VLOOKUP((H92/F92*30.4),SUBSIDIO,2))/30.4*F92,2),0),0)</f>
        <v>128.24</v>
      </c>
      <c r="J92" s="145">
        <f t="shared" ref="J92:J98" si="6">IFERROR(IF(ROUND((((H92/F92*30.4)-VLOOKUP((H92/F92*30.4),TARIFA,1))*VLOOKUP((H92/F92*30.4),TARIFA,3)+VLOOKUP((H92/F92*30.4),TARIFA,2)-VLOOKUP((H92/F92*30.4),SUBSIDIO,2))/30.4*F92,2)&gt;0,ROUND((((H92/F92*30.4)-VLOOKUP((H92/F92*30.4),TARIFA,1))*VLOOKUP((H92/F92*30.4),TARIFA,3)+VLOOKUP((H92/F92*30.4),TARIFA,2)-VLOOKUP((H92/F92*30.4),SUBSIDIO,2))/30.4*F92,2),0),0)</f>
        <v>0</v>
      </c>
      <c r="K92" s="145">
        <v>0</v>
      </c>
      <c r="L92" s="145">
        <f t="shared" ref="L92:L101" si="7">H92+I92-J92</f>
        <v>1459.24</v>
      </c>
      <c r="M92" s="19"/>
      <c r="P92" s="51"/>
      <c r="Q92" s="52"/>
    </row>
    <row r="93" spans="4:17" ht="36.950000000000003" customHeight="1" x14ac:dyDescent="0.2">
      <c r="D93" s="147" t="s">
        <v>330</v>
      </c>
      <c r="E93" s="148" t="s">
        <v>86</v>
      </c>
      <c r="F93" s="142">
        <v>15</v>
      </c>
      <c r="G93" s="145">
        <v>1331</v>
      </c>
      <c r="H93" s="145">
        <v>1331</v>
      </c>
      <c r="I93" s="337">
        <f t="shared" si="5"/>
        <v>128.24</v>
      </c>
      <c r="J93" s="145">
        <f t="shared" si="6"/>
        <v>0</v>
      </c>
      <c r="K93" s="145">
        <v>0</v>
      </c>
      <c r="L93" s="145">
        <f t="shared" si="7"/>
        <v>1459.24</v>
      </c>
      <c r="M93" s="19"/>
      <c r="P93" s="51"/>
      <c r="Q93" s="52"/>
    </row>
    <row r="94" spans="4:17" ht="36.950000000000003" customHeight="1" x14ac:dyDescent="0.2">
      <c r="D94" s="147"/>
      <c r="E94" s="148" t="s">
        <v>89</v>
      </c>
      <c r="F94" s="142">
        <v>0</v>
      </c>
      <c r="G94" s="145">
        <v>0</v>
      </c>
      <c r="H94" s="145">
        <v>0</v>
      </c>
      <c r="I94" s="337">
        <f t="shared" si="5"/>
        <v>0</v>
      </c>
      <c r="J94" s="145">
        <f t="shared" si="6"/>
        <v>0</v>
      </c>
      <c r="K94" s="145">
        <v>0</v>
      </c>
      <c r="L94" s="145">
        <f t="shared" si="7"/>
        <v>0</v>
      </c>
      <c r="M94" s="19"/>
      <c r="P94" s="51"/>
      <c r="Q94" s="52"/>
    </row>
    <row r="95" spans="4:17" ht="36.950000000000003" customHeight="1" x14ac:dyDescent="0.2">
      <c r="D95" s="147" t="s">
        <v>239</v>
      </c>
      <c r="E95" s="148" t="s">
        <v>90</v>
      </c>
      <c r="F95" s="142">
        <v>15</v>
      </c>
      <c r="G95" s="145">
        <v>1331</v>
      </c>
      <c r="H95" s="145">
        <v>1331</v>
      </c>
      <c r="I95" s="337">
        <f t="shared" si="5"/>
        <v>128.24</v>
      </c>
      <c r="J95" s="145">
        <f t="shared" si="6"/>
        <v>0</v>
      </c>
      <c r="K95" s="145">
        <v>0</v>
      </c>
      <c r="L95" s="145">
        <f t="shared" si="7"/>
        <v>1459.24</v>
      </c>
      <c r="M95" s="19"/>
      <c r="P95" s="51"/>
      <c r="Q95" s="52"/>
    </row>
    <row r="96" spans="4:17" ht="36.950000000000003" customHeight="1" x14ac:dyDescent="0.2">
      <c r="D96" s="147" t="s">
        <v>240</v>
      </c>
      <c r="E96" s="148" t="s">
        <v>116</v>
      </c>
      <c r="F96" s="142">
        <v>15</v>
      </c>
      <c r="G96" s="145">
        <v>1331</v>
      </c>
      <c r="H96" s="145">
        <v>1331</v>
      </c>
      <c r="I96" s="337">
        <f t="shared" si="5"/>
        <v>128.24</v>
      </c>
      <c r="J96" s="145">
        <f t="shared" si="6"/>
        <v>0</v>
      </c>
      <c r="K96" s="145">
        <v>0</v>
      </c>
      <c r="L96" s="145">
        <f t="shared" si="7"/>
        <v>1459.24</v>
      </c>
      <c r="M96" s="19"/>
      <c r="P96" s="51"/>
      <c r="Q96" s="52"/>
    </row>
    <row r="97" spans="4:17" ht="36.950000000000003" customHeight="1" x14ac:dyDescent="0.2">
      <c r="D97" s="147" t="s">
        <v>241</v>
      </c>
      <c r="E97" s="148" t="s">
        <v>117</v>
      </c>
      <c r="F97" s="142">
        <v>15</v>
      </c>
      <c r="G97" s="145">
        <v>1331</v>
      </c>
      <c r="H97" s="145">
        <v>1331</v>
      </c>
      <c r="I97" s="337">
        <f t="shared" si="5"/>
        <v>128.24</v>
      </c>
      <c r="J97" s="145">
        <f t="shared" si="6"/>
        <v>0</v>
      </c>
      <c r="K97" s="145">
        <v>0</v>
      </c>
      <c r="L97" s="145">
        <f t="shared" si="7"/>
        <v>1459.24</v>
      </c>
      <c r="M97" s="19"/>
      <c r="P97" s="51"/>
      <c r="Q97" s="52"/>
    </row>
    <row r="98" spans="4:17" ht="47.25" customHeight="1" x14ac:dyDescent="0.2">
      <c r="D98" s="147" t="s">
        <v>242</v>
      </c>
      <c r="E98" s="148" t="s">
        <v>118</v>
      </c>
      <c r="F98" s="142">
        <v>15</v>
      </c>
      <c r="G98" s="145">
        <v>1331</v>
      </c>
      <c r="H98" s="145">
        <v>1331</v>
      </c>
      <c r="I98" s="337">
        <f t="shared" si="5"/>
        <v>128.24</v>
      </c>
      <c r="J98" s="145">
        <f t="shared" si="6"/>
        <v>0</v>
      </c>
      <c r="K98" s="145">
        <v>0</v>
      </c>
      <c r="L98" s="145">
        <f t="shared" si="7"/>
        <v>1459.24</v>
      </c>
      <c r="M98" s="19"/>
      <c r="P98" s="51"/>
      <c r="Q98" s="52"/>
    </row>
    <row r="99" spans="4:17" ht="36.950000000000003" customHeight="1" x14ac:dyDescent="0.25">
      <c r="D99" s="141" t="s">
        <v>47</v>
      </c>
      <c r="E99" s="147"/>
      <c r="F99" s="142"/>
      <c r="G99" s="145"/>
      <c r="H99" s="145"/>
      <c r="I99" s="337"/>
      <c r="J99" s="145"/>
      <c r="K99" s="145"/>
      <c r="L99" s="145"/>
      <c r="M99" s="19"/>
      <c r="P99" s="51"/>
      <c r="Q99" s="52"/>
    </row>
    <row r="100" spans="4:17" ht="36.950000000000003" customHeight="1" x14ac:dyDescent="0.2">
      <c r="D100" s="157" t="s">
        <v>49</v>
      </c>
      <c r="E100" s="147" t="s">
        <v>50</v>
      </c>
      <c r="F100" s="142">
        <v>15</v>
      </c>
      <c r="G100" s="145">
        <v>3978</v>
      </c>
      <c r="H100" s="145">
        <v>3978</v>
      </c>
      <c r="I100" s="337">
        <f>IFERROR(IF(ROUND((((H100/F100*30.4)-VLOOKUP((H100/F100*30.4),TARIFA,1))*VLOOKUP((H100/F100*30.4),TARIFA,3)+VLOOKUP((H100/F100*30.4),TARIFA,2)-VLOOKUP((H100/F100*30.4),SUBSIDIO,2))/30.4*F100,2)&lt;0,ROUND(-(((H100/F100*30.4)-VLOOKUP((H100/F100*30.4),TARIFA,1))*VLOOKUP((H100/F100*30.4),TARIFA,3)+VLOOKUP((H100/F100*30.4),TARIFA,2)-VLOOKUP((H100/F100*30.4),SUBSIDIO,2))/30.4*F100,2),0),0)</f>
        <v>0</v>
      </c>
      <c r="J100" s="145">
        <f>IFERROR(IF(ROUND((((H100/F100*30.4)-VLOOKUP((H100/F100*30.4),TARIFA,1))*VLOOKUP((H100/F100*30.4),TARIFA,3)+VLOOKUP((H100/F100*30.4),TARIFA,2)-VLOOKUP((H100/F100*30.4),SUBSIDIO,2))/30.4*F100,2)&gt;0,ROUND((((H100/F100*30.4)-VLOOKUP((H100/F100*30.4),TARIFA,1))*VLOOKUP((H100/F100*30.4),TARIFA,3)+VLOOKUP((H100/F100*30.4),TARIFA,2)-VLOOKUP((H100/F100*30.4),SUBSIDIO,2))/30.4*F100,2),0),0)</f>
        <v>311.47000000000003</v>
      </c>
      <c r="K100" s="145">
        <v>0</v>
      </c>
      <c r="L100" s="145">
        <f t="shared" si="7"/>
        <v>3666.5299999999997</v>
      </c>
      <c r="M100" s="19"/>
      <c r="P100" s="51"/>
      <c r="Q100" s="52"/>
    </row>
    <row r="101" spans="4:17" ht="36.950000000000003" customHeight="1" x14ac:dyDescent="0.2">
      <c r="D101" s="157" t="s">
        <v>51</v>
      </c>
      <c r="E101" s="148" t="s">
        <v>52</v>
      </c>
      <c r="F101" s="156">
        <v>15</v>
      </c>
      <c r="G101" s="145">
        <v>3226</v>
      </c>
      <c r="H101" s="145">
        <v>3226</v>
      </c>
      <c r="I101" s="337">
        <f>IFERROR(IF(ROUND((((H101/F101*30.4)-VLOOKUP((H101/F101*30.4),TARIFA,1))*VLOOKUP((H101/F101*30.4),TARIFA,3)+VLOOKUP((H101/F101*30.4),TARIFA,2)-VLOOKUP((H101/F101*30.4),SUBSIDIO,2))/30.4*F101,2)&lt;0,ROUND(-(((H101/F101*30.4)-VLOOKUP((H101/F101*30.4),TARIFA,1))*VLOOKUP((H101/F101*30.4),TARIFA,3)+VLOOKUP((H101/F101*30.4),TARIFA,2)-VLOOKUP((H101/F101*30.4),SUBSIDIO,2))/30.4*F101,2),0),0)</f>
        <v>0</v>
      </c>
      <c r="J101" s="145">
        <f>IFERROR(IF(ROUND((((H101/F101*30.4)-VLOOKUP((H101/F101*30.4),TARIFA,1))*VLOOKUP((H101/F101*30.4),TARIFA,3)+VLOOKUP((H101/F101*30.4),TARIFA,2)-VLOOKUP((H101/F101*30.4),SUBSIDIO,2))/30.4*F101,2)&gt;0,ROUND((((H101/F101*30.4)-VLOOKUP((H101/F101*30.4),TARIFA,1))*VLOOKUP((H101/F101*30.4),TARIFA,3)+VLOOKUP((H101/F101*30.4),TARIFA,2)-VLOOKUP((H101/F101*30.4),SUBSIDIO,2))/30.4*F101,2),0),0)</f>
        <v>104.56</v>
      </c>
      <c r="K101" s="145">
        <v>0</v>
      </c>
      <c r="L101" s="145">
        <f t="shared" si="7"/>
        <v>3121.44</v>
      </c>
      <c r="M101" s="19"/>
      <c r="P101" s="51"/>
      <c r="Q101" s="52"/>
    </row>
    <row r="102" spans="4:17" ht="36.950000000000003" customHeight="1" x14ac:dyDescent="0.2">
      <c r="D102" s="4"/>
      <c r="E102" s="4"/>
      <c r="F102" s="5"/>
      <c r="G102" s="19"/>
      <c r="H102" s="19"/>
      <c r="I102" s="340"/>
      <c r="J102" s="19"/>
      <c r="K102" s="19"/>
      <c r="L102" s="19"/>
      <c r="M102" s="19"/>
      <c r="P102" s="51"/>
      <c r="Q102" s="52"/>
    </row>
    <row r="103" spans="4:17" ht="36.950000000000003" customHeight="1" x14ac:dyDescent="0.2">
      <c r="D103" s="20"/>
      <c r="E103" s="20"/>
      <c r="F103" s="71"/>
      <c r="G103" s="24"/>
      <c r="H103" s="25"/>
      <c r="I103" s="343"/>
      <c r="J103" s="26"/>
      <c r="K103" s="26"/>
      <c r="L103" s="26"/>
      <c r="M103" s="26"/>
    </row>
    <row r="104" spans="4:17" ht="36.950000000000003" customHeight="1" thickBot="1" x14ac:dyDescent="0.3">
      <c r="D104" s="398"/>
      <c r="E104" s="398"/>
      <c r="F104" s="398"/>
      <c r="G104" s="165">
        <f>G105+G82+G58+G34</f>
        <v>174631</v>
      </c>
      <c r="H104" s="165">
        <f>H105+H82+H58+H34</f>
        <v>174631</v>
      </c>
      <c r="I104" s="344">
        <f>I101+I100+I98+I97+I96+I95+I94+I93+I92+I81+I79+I78+I77+I76+I74+I73+I72+I71+I70+I69+I68+I57+I56+I55+I53+I51+I50+I49+I48+I46+I45+I33+I31+I29+I27+I26+I25+I23+I21+I19+I17+I16+I14+I13+I12</f>
        <v>957.67000000000007</v>
      </c>
      <c r="J104" s="165">
        <f>J101+J100+J98+J97+J96+J95+J94+J93+J92+J81+J79+J78+J77+J76+J74+J73+J72+J71+J70+J69+J68+J57+J56+J55+J53+J51+J50+J49+J48+J46+J45+J33+J31+J29+J27+J26+J25+J23+J21+J19+J17+J16+J14+J13+J12</f>
        <v>16738.430000000004</v>
      </c>
      <c r="K104" s="165" t="e">
        <f>K101+K100+K98+K97+K96+K95+K94+K93+K92+K81+K79+K78+K77+K76+K74+K73+K72+K71+K70+K69+K68+K57+K56+K55+K53+K51+K50+K49+K48+K46+K45+K33+K31+K29+K27+K26+K25+K23+K21+K19+K17+K16+K14+#REF!+K13+K12</f>
        <v>#REF!</v>
      </c>
      <c r="L104" s="165">
        <f>L101+L100+L98+L97+L96+L95+L94+L93+L92+L81+L79+L78+L77+L76+L74+L73+L72+L71+L70+L69+L68+L57+L56+L55+L53+L51+L50+L49+L48+L46+L45+L33+L31+L29+L27+L26+L25+L23+L21+L19+L17+L16+L14+L13+L12</f>
        <v>158850.23999999999</v>
      </c>
      <c r="M104" s="28"/>
      <c r="P104" s="52"/>
      <c r="Q104" s="52"/>
    </row>
    <row r="105" spans="4:17" ht="13.5" thickTop="1" x14ac:dyDescent="0.2">
      <c r="G105" s="273">
        <f>G101+G100+G98+G97+G96+G95+G94+G93+G92</f>
        <v>15190</v>
      </c>
      <c r="H105" s="273">
        <f>H101+H100+H98+H97+H96+H95+H94+H93+H92</f>
        <v>15190</v>
      </c>
      <c r="I105" s="345"/>
      <c r="J105" s="272"/>
      <c r="K105" s="70"/>
      <c r="L105" s="70"/>
    </row>
    <row r="106" spans="4:17" x14ac:dyDescent="0.2">
      <c r="G106" s="272"/>
      <c r="H106" s="272"/>
      <c r="I106" s="345"/>
      <c r="J106" s="272"/>
      <c r="K106" s="70"/>
      <c r="L106" s="70"/>
    </row>
    <row r="107" spans="4:17" x14ac:dyDescent="0.2">
      <c r="G107" s="272"/>
      <c r="H107" s="272"/>
      <c r="I107" s="345"/>
      <c r="J107" s="272"/>
      <c r="K107" s="70"/>
      <c r="L107" s="70"/>
    </row>
    <row r="108" spans="4:17" x14ac:dyDescent="0.2">
      <c r="G108" s="272"/>
      <c r="H108" s="272"/>
      <c r="I108" s="345"/>
      <c r="J108" s="272"/>
      <c r="K108" s="70"/>
      <c r="L108" s="70"/>
    </row>
    <row r="109" spans="4:17" x14ac:dyDescent="0.2">
      <c r="G109" s="272"/>
      <c r="H109" s="272"/>
      <c r="I109" s="345"/>
      <c r="J109" s="272"/>
      <c r="K109" s="70"/>
      <c r="L109" s="70"/>
    </row>
    <row r="110" spans="4:17" x14ac:dyDescent="0.2">
      <c r="G110" s="29"/>
      <c r="H110" s="29"/>
      <c r="I110" s="345"/>
      <c r="J110" s="29"/>
    </row>
    <row r="111" spans="4:17" x14ac:dyDescent="0.2">
      <c r="G111" s="29"/>
      <c r="H111" s="272"/>
      <c r="I111" s="345"/>
      <c r="J111" s="29"/>
    </row>
    <row r="112" spans="4:17" x14ac:dyDescent="0.2">
      <c r="D112" s="15" t="s">
        <v>119</v>
      </c>
      <c r="G112" s="29"/>
      <c r="H112" s="29"/>
      <c r="I112" s="345"/>
      <c r="J112" s="29"/>
      <c r="L112" s="60"/>
      <c r="M112" s="60"/>
    </row>
    <row r="113" spans="4:13" x14ac:dyDescent="0.2">
      <c r="D113" s="29" t="s">
        <v>192</v>
      </c>
      <c r="L113" s="409" t="s">
        <v>190</v>
      </c>
      <c r="M113" s="409"/>
    </row>
    <row r="114" spans="4:13" x14ac:dyDescent="0.2">
      <c r="D114" s="30" t="s">
        <v>9</v>
      </c>
      <c r="E114" s="30"/>
      <c r="L114" s="410" t="s">
        <v>162</v>
      </c>
      <c r="M114" s="410"/>
    </row>
    <row r="115" spans="4:13" x14ac:dyDescent="0.2">
      <c r="J115" s="51"/>
      <c r="K115" s="51"/>
    </row>
    <row r="116" spans="4:13" x14ac:dyDescent="0.2">
      <c r="J116" s="51"/>
      <c r="K116" s="51"/>
    </row>
    <row r="117" spans="4:13" x14ac:dyDescent="0.2">
      <c r="J117" s="51"/>
      <c r="K117" s="51"/>
    </row>
    <row r="118" spans="4:13" x14ac:dyDescent="0.2">
      <c r="J118" s="51"/>
      <c r="K118" s="51"/>
    </row>
    <row r="119" spans="4:13" x14ac:dyDescent="0.2">
      <c r="D119" s="31"/>
      <c r="G119" s="29"/>
    </row>
    <row r="120" spans="4:13" x14ac:dyDescent="0.2">
      <c r="D120" s="32"/>
      <c r="E120" s="30"/>
      <c r="F120" s="30"/>
      <c r="G120" s="30"/>
      <c r="H120" s="30"/>
      <c r="I120" s="346"/>
      <c r="J120" s="30"/>
      <c r="K120" s="30"/>
      <c r="L120" s="30"/>
      <c r="M120" s="30"/>
    </row>
    <row r="125" spans="4:13" x14ac:dyDescent="0.2">
      <c r="D125" s="29"/>
      <c r="G125" s="29"/>
    </row>
    <row r="140" spans="4:13" x14ac:dyDescent="0.2">
      <c r="D140" s="29"/>
      <c r="G140" s="29"/>
    </row>
    <row r="141" spans="4:13" x14ac:dyDescent="0.2">
      <c r="D141" s="30"/>
      <c r="E141" s="30"/>
      <c r="F141" s="30"/>
      <c r="G141" s="30"/>
      <c r="H141" s="30"/>
      <c r="I141" s="346"/>
      <c r="J141" s="30"/>
      <c r="K141" s="30"/>
      <c r="L141" s="30"/>
      <c r="M141" s="30"/>
    </row>
  </sheetData>
  <sheetProtection selectLockedCells="1" selectUnlockedCells="1"/>
  <mergeCells count="27">
    <mergeCell ref="D4:M4"/>
    <mergeCell ref="D84:M84"/>
    <mergeCell ref="D85:M85"/>
    <mergeCell ref="D86:M86"/>
    <mergeCell ref="D3:M3"/>
    <mergeCell ref="D5:M5"/>
    <mergeCell ref="J7:L7"/>
    <mergeCell ref="H7:I7"/>
    <mergeCell ref="D6:M6"/>
    <mergeCell ref="D37:M37"/>
    <mergeCell ref="D38:M38"/>
    <mergeCell ref="D60:M60"/>
    <mergeCell ref="D61:M61"/>
    <mergeCell ref="D83:M83"/>
    <mergeCell ref="D62:M62"/>
    <mergeCell ref="D104:F104"/>
    <mergeCell ref="L113:M113"/>
    <mergeCell ref="L114:M114"/>
    <mergeCell ref="D35:M35"/>
    <mergeCell ref="H39:I39"/>
    <mergeCell ref="J39:L39"/>
    <mergeCell ref="D59:M59"/>
    <mergeCell ref="H63:I63"/>
    <mergeCell ref="J63:L63"/>
    <mergeCell ref="D36:M36"/>
    <mergeCell ref="H87:I87"/>
    <mergeCell ref="J87:L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E176"/>
  <sheetViews>
    <sheetView topLeftCell="A142" zoomScale="90" zoomScaleNormal="90" workbookViewId="0">
      <selection activeCell="E148" sqref="E148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4" width="63" style="1" customWidth="1"/>
    <col min="5" max="5" width="62.140625" style="1" customWidth="1"/>
    <col min="6" max="6" width="5.7109375" style="1" customWidth="1"/>
    <col min="7" max="7" width="22.7109375" style="1" customWidth="1"/>
    <col min="8" max="8" width="21.42578125" style="1" customWidth="1"/>
    <col min="9" max="9" width="16" style="54" bestFit="1" customWidth="1"/>
    <col min="10" max="10" width="15.42578125" style="54" bestFit="1" customWidth="1"/>
    <col min="11" max="11" width="13.42578125" style="1" hidden="1" customWidth="1"/>
    <col min="12" max="12" width="19.28515625" style="1" customWidth="1"/>
    <col min="13" max="13" width="83.140625" style="1" customWidth="1"/>
    <col min="14" max="15" width="11.42578125" style="1"/>
    <col min="16" max="16" width="12.140625" style="1" bestFit="1" customWidth="1"/>
    <col min="17" max="16384" width="11.42578125" style="1"/>
  </cols>
  <sheetData>
    <row r="2" spans="4:17" x14ac:dyDescent="0.2">
      <c r="D2" s="12"/>
      <c r="E2" s="12"/>
      <c r="F2" s="12"/>
      <c r="G2" s="12"/>
      <c r="H2" s="12"/>
      <c r="I2" s="347"/>
      <c r="J2" s="347"/>
      <c r="K2" s="12"/>
      <c r="L2" s="12"/>
      <c r="M2" s="12"/>
    </row>
    <row r="3" spans="4:17" ht="35.1" customHeight="1" x14ac:dyDescent="0.3">
      <c r="D3" s="419"/>
      <c r="E3" s="419"/>
      <c r="F3" s="419"/>
      <c r="G3" s="419"/>
      <c r="H3" s="419"/>
      <c r="I3" s="419"/>
      <c r="J3" s="419"/>
      <c r="K3" s="419"/>
      <c r="L3" s="419"/>
      <c r="M3" s="420"/>
    </row>
    <row r="4" spans="4:17" ht="35.1" customHeight="1" x14ac:dyDescent="0.3">
      <c r="D4" s="417"/>
      <c r="E4" s="417"/>
      <c r="F4" s="417"/>
      <c r="G4" s="417"/>
      <c r="H4" s="417"/>
      <c r="I4" s="417"/>
      <c r="J4" s="417"/>
      <c r="K4" s="417"/>
      <c r="L4" s="417"/>
      <c r="M4" s="427"/>
    </row>
    <row r="5" spans="4:17" ht="35.1" customHeight="1" x14ac:dyDescent="0.3">
      <c r="D5" s="418"/>
      <c r="E5" s="418"/>
      <c r="F5" s="418"/>
      <c r="G5" s="418"/>
      <c r="H5" s="418"/>
      <c r="I5" s="418"/>
      <c r="J5" s="418"/>
      <c r="K5" s="418"/>
      <c r="L5" s="418"/>
      <c r="M5" s="421"/>
    </row>
    <row r="6" spans="4:17" ht="35.1" customHeight="1" x14ac:dyDescent="0.3">
      <c r="D6" s="425"/>
      <c r="E6" s="425"/>
      <c r="F6" s="425"/>
      <c r="G6" s="425"/>
      <c r="H6" s="425"/>
      <c r="I6" s="425"/>
      <c r="J6" s="425"/>
      <c r="K6" s="425"/>
      <c r="L6" s="425"/>
      <c r="M6" s="426"/>
    </row>
    <row r="7" spans="4:17" ht="35.1" customHeight="1" x14ac:dyDescent="0.2">
      <c r="D7" s="108"/>
      <c r="E7" s="107"/>
      <c r="F7" s="113" t="s">
        <v>3</v>
      </c>
      <c r="G7" s="422" t="s">
        <v>0</v>
      </c>
      <c r="H7" s="423"/>
      <c r="I7" s="424"/>
      <c r="J7" s="348"/>
      <c r="K7" s="110"/>
      <c r="L7" s="109"/>
      <c r="M7" s="111"/>
    </row>
    <row r="8" spans="4:17" ht="35.1" customHeight="1" x14ac:dyDescent="0.2">
      <c r="D8" s="111"/>
      <c r="E8" s="111"/>
      <c r="F8" s="112" t="s">
        <v>4</v>
      </c>
      <c r="G8" s="113" t="s">
        <v>1</v>
      </c>
      <c r="H8" s="113" t="s">
        <v>152</v>
      </c>
      <c r="I8" s="349" t="s">
        <v>155</v>
      </c>
      <c r="J8" s="349"/>
      <c r="K8" s="109" t="s">
        <v>169</v>
      </c>
      <c r="L8" s="109" t="s">
        <v>154</v>
      </c>
      <c r="M8" s="114"/>
    </row>
    <row r="9" spans="4:17" ht="35.1" customHeight="1" x14ac:dyDescent="0.25">
      <c r="D9" s="115"/>
      <c r="E9" s="116" t="s">
        <v>8</v>
      </c>
      <c r="F9" s="109"/>
      <c r="G9" s="109" t="s">
        <v>6</v>
      </c>
      <c r="H9" s="109" t="s">
        <v>154</v>
      </c>
      <c r="I9" s="112" t="s">
        <v>156</v>
      </c>
      <c r="J9" s="112" t="s">
        <v>157</v>
      </c>
      <c r="K9" s="109" t="s">
        <v>171</v>
      </c>
      <c r="L9" s="109" t="s">
        <v>160</v>
      </c>
      <c r="M9" s="113" t="s">
        <v>163</v>
      </c>
    </row>
    <row r="10" spans="4:17" ht="35.1" customHeight="1" x14ac:dyDescent="0.25">
      <c r="D10" s="115" t="s">
        <v>74</v>
      </c>
      <c r="E10" s="115" t="s">
        <v>7</v>
      </c>
      <c r="F10" s="113"/>
      <c r="G10" s="113"/>
      <c r="H10" s="113"/>
      <c r="I10" s="349"/>
      <c r="J10" s="350"/>
      <c r="K10" s="117"/>
      <c r="L10" s="113"/>
      <c r="M10" s="113"/>
    </row>
    <row r="11" spans="4:17" s="9" customFormat="1" ht="35.1" customHeight="1" x14ac:dyDescent="0.3">
      <c r="D11" s="194" t="s">
        <v>17</v>
      </c>
      <c r="E11" s="195"/>
      <c r="F11" s="196"/>
      <c r="G11" s="197"/>
      <c r="H11" s="197"/>
      <c r="I11" s="351"/>
      <c r="J11" s="352"/>
      <c r="K11" s="198"/>
      <c r="L11" s="197"/>
      <c r="M11" s="44"/>
    </row>
    <row r="12" spans="4:17" ht="35.1" customHeight="1" x14ac:dyDescent="0.3">
      <c r="D12" s="199" t="s">
        <v>97</v>
      </c>
      <c r="E12" s="200" t="s">
        <v>81</v>
      </c>
      <c r="F12" s="201">
        <v>15</v>
      </c>
      <c r="G12" s="202">
        <v>1904</v>
      </c>
      <c r="H12" s="203">
        <f>G12</f>
        <v>1904</v>
      </c>
      <c r="I12" s="202">
        <f>IFERROR(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,0)</f>
        <v>79.650000000000006</v>
      </c>
      <c r="J12" s="202">
        <f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0</v>
      </c>
      <c r="K12" s="203">
        <v>0</v>
      </c>
      <c r="L12" s="203">
        <f>H12+I12-J12-K12</f>
        <v>1983.65</v>
      </c>
      <c r="M12" s="19"/>
      <c r="P12" s="54"/>
      <c r="Q12" s="56"/>
    </row>
    <row r="13" spans="4:17" ht="35.1" customHeight="1" x14ac:dyDescent="0.3">
      <c r="D13" s="199" t="s">
        <v>245</v>
      </c>
      <c r="E13" s="200" t="s">
        <v>15</v>
      </c>
      <c r="F13" s="201">
        <v>15</v>
      </c>
      <c r="G13" s="202">
        <v>1904</v>
      </c>
      <c r="H13" s="203">
        <v>1904</v>
      </c>
      <c r="I13" s="202">
        <f>IFERROR(IF(ROUND((((H13/F13*30.4)-VLOOKUP((H13/F13*30.4),TARIFA,1))*VLOOKUP((H13/F13*30.4),TARIFA,3)+VLOOKUP((H13/F13*30.4),TARIFA,2)-VLOOKUP((H13/F13*30.4),SUBSIDIO,2))/30.4*F13,2)&lt;0,ROUND(-(((H13/F13*30.4)-VLOOKUP((H13/F13*30.4),TARIFA,1))*VLOOKUP((H13/F13*30.4),TARIFA,3)+VLOOKUP((H13/F13*30.4),TARIFA,2)-VLOOKUP((H13/F13*30.4),SUBSIDIO,2))/30.4*F13,2),0),0)</f>
        <v>79.650000000000006</v>
      </c>
      <c r="J13" s="202">
        <f>IFERROR(IF(ROUND((((H13/F13*30.4)-VLOOKUP((H13/F13*30.4),TARIFA,1))*VLOOKUP((H13/F13*30.4),TARIFA,3)+VLOOKUP((H13/F13*30.4),TARIFA,2)-VLOOKUP((H13/F13*30.4),SUBSIDIO,2))/30.4*F13,2)&gt;0,ROUND((((H13/F13*30.4)-VLOOKUP((H13/F13*30.4),TARIFA,1))*VLOOKUP((H13/F13*30.4),TARIFA,3)+VLOOKUP((H13/F13*30.4),TARIFA,2)-VLOOKUP((H13/F13*30.4),SUBSIDIO,2))/30.4*F13,2),0),0)</f>
        <v>0</v>
      </c>
      <c r="K13" s="203"/>
      <c r="L13" s="203">
        <f>H13+I13-J13-K13</f>
        <v>1983.65</v>
      </c>
      <c r="M13" s="19"/>
      <c r="P13" s="54"/>
      <c r="Q13" s="56"/>
    </row>
    <row r="14" spans="4:17" ht="35.1" customHeight="1" x14ac:dyDescent="0.3">
      <c r="D14" s="204" t="s">
        <v>196</v>
      </c>
      <c r="E14" s="205" t="s">
        <v>80</v>
      </c>
      <c r="F14" s="206">
        <v>15</v>
      </c>
      <c r="G14" s="203">
        <v>2232</v>
      </c>
      <c r="H14" s="203">
        <v>2232</v>
      </c>
      <c r="I14" s="202">
        <f>IFERROR(IF(ROUND((((H14/F14*30.4)-VLOOKUP((H14/F14*30.4),TARIFA,1))*VLOOKUP((H14/F14*30.4),TARIFA,3)+VLOOKUP((H14/F14*30.4),TARIFA,2)-VLOOKUP((H14/F14*30.4),SUBSIDIO,2))/30.4*F14,2)&lt;0,ROUND(-(((H14/F14*30.4)-VLOOKUP((H14/F14*30.4),TARIFA,1))*VLOOKUP((H14/F14*30.4),TARIFA,3)+VLOOKUP((H14/F14*30.4),TARIFA,2)-VLOOKUP((H14/F14*30.4),SUBSIDIO,2))/30.4*F14,2),0),0)</f>
        <v>44.72</v>
      </c>
      <c r="J14" s="202">
        <f>IFERROR(IF(ROUND((((H14/F14*30.4)-VLOOKUP((H14/F14*30.4),TARIFA,1))*VLOOKUP((H14/F14*30.4),TARIFA,3)+VLOOKUP((H14/F14*30.4),TARIFA,2)-VLOOKUP((H14/F14*30.4),SUBSIDIO,2))/30.4*F14,2)&gt;0,ROUND((((H14/F14*30.4)-VLOOKUP((H14/F14*30.4),TARIFA,1))*VLOOKUP((H14/F14*30.4),TARIFA,3)+VLOOKUP((H14/F14*30.4),TARIFA,2)-VLOOKUP((H14/F14*30.4),SUBSIDIO,2))/30.4*F14,2),0),0)</f>
        <v>0</v>
      </c>
      <c r="K14" s="203">
        <v>0</v>
      </c>
      <c r="L14" s="203">
        <f>H14+I14</f>
        <v>2276.7199999999998</v>
      </c>
      <c r="M14" s="19"/>
      <c r="P14" s="54"/>
      <c r="Q14" s="56"/>
    </row>
    <row r="15" spans="4:17" ht="35.1" customHeight="1" x14ac:dyDescent="0.3">
      <c r="D15" s="207" t="s">
        <v>229</v>
      </c>
      <c r="E15" s="200"/>
      <c r="F15" s="201"/>
      <c r="G15" s="208"/>
      <c r="H15" s="203"/>
      <c r="I15" s="202"/>
      <c r="J15" s="202"/>
      <c r="K15" s="203"/>
      <c r="L15" s="203"/>
      <c r="M15" s="19"/>
      <c r="P15" s="54"/>
      <c r="Q15" s="56"/>
    </row>
    <row r="16" spans="4:17" ht="35.1" customHeight="1" x14ac:dyDescent="0.3">
      <c r="D16" s="199" t="s">
        <v>197</v>
      </c>
      <c r="E16" s="200" t="s">
        <v>144</v>
      </c>
      <c r="F16" s="201">
        <v>15</v>
      </c>
      <c r="G16" s="208">
        <v>7423</v>
      </c>
      <c r="H16" s="203">
        <v>7423</v>
      </c>
      <c r="I16" s="202">
        <f>IFERROR(IF(ROUND((((H16/F16*30.4)-VLOOKUP((H16/F16*30.4),TARIFA,1))*VLOOKUP((H16/F16*30.4),TARIFA,3)+VLOOKUP((H16/F16*30.4),TARIFA,2)-VLOOKUP((H16/F16*30.4),SUBSIDIO,2))/30.4*F16,2)&lt;0,ROUND(-(((H16/F16*30.4)-VLOOKUP((H16/F16*30.4),TARIFA,1))*VLOOKUP((H16/F16*30.4),TARIFA,3)+VLOOKUP((H16/F16*30.4),TARIFA,2)-VLOOKUP((H16/F16*30.4),SUBSIDIO,2))/30.4*F16,2),0),0)</f>
        <v>0</v>
      </c>
      <c r="J16" s="202">
        <f>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</f>
        <v>947.33</v>
      </c>
      <c r="K16" s="203">
        <v>0</v>
      </c>
      <c r="L16" s="203">
        <f>H16+I16-J16-K16</f>
        <v>6475.67</v>
      </c>
      <c r="M16" s="19"/>
      <c r="P16" s="54"/>
      <c r="Q16" s="56"/>
    </row>
    <row r="17" spans="4:17" ht="35.1" customHeight="1" x14ac:dyDescent="0.3">
      <c r="D17" s="207" t="s">
        <v>227</v>
      </c>
      <c r="E17" s="200"/>
      <c r="F17" s="201"/>
      <c r="G17" s="208"/>
      <c r="H17" s="203"/>
      <c r="I17" s="202"/>
      <c r="J17" s="202"/>
      <c r="K17" s="203"/>
      <c r="L17" s="203"/>
      <c r="M17" s="19"/>
      <c r="P17" s="54"/>
      <c r="Q17" s="56"/>
    </row>
    <row r="18" spans="4:17" ht="35.1" customHeight="1" x14ac:dyDescent="0.3">
      <c r="D18" s="207" t="s">
        <v>136</v>
      </c>
      <c r="E18" s="200" t="s">
        <v>228</v>
      </c>
      <c r="F18" s="201"/>
      <c r="G18" s="208"/>
      <c r="H18" s="203"/>
      <c r="I18" s="202"/>
      <c r="J18" s="202"/>
      <c r="K18" s="203"/>
      <c r="L18" s="203"/>
      <c r="M18" s="19"/>
      <c r="P18" s="54"/>
      <c r="Q18" s="56"/>
    </row>
    <row r="19" spans="4:17" ht="35.1" customHeight="1" x14ac:dyDescent="0.3">
      <c r="D19" s="204" t="s">
        <v>244</v>
      </c>
      <c r="E19" s="200" t="s">
        <v>137</v>
      </c>
      <c r="F19" s="201">
        <v>15</v>
      </c>
      <c r="G19" s="208">
        <v>4713</v>
      </c>
      <c r="H19" s="208">
        <v>4713</v>
      </c>
      <c r="I19" s="202">
        <f>IFERROR(IF(ROUND((((H19/F19*30.4)-VLOOKUP((H19/F19*30.4),TARIFA,1))*VLOOKUP((H19/F19*30.4),TARIFA,3)+VLOOKUP((H19/F19*30.4),TARIFA,2)-VLOOKUP((H19/F19*30.4),SUBSIDIO,2))/30.4*F19,2)&lt;0,ROUND(-(((H19/F19*30.4)-VLOOKUP((H19/F19*30.4),TARIFA,1))*VLOOKUP((H19/F19*30.4),TARIFA,3)+VLOOKUP((H19/F19*30.4),TARIFA,2)-VLOOKUP((H19/F19*30.4),SUBSIDIO,2))/30.4*F19,2),0),0)</f>
        <v>0</v>
      </c>
      <c r="J19" s="202">
        <f>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</f>
        <v>414.75</v>
      </c>
      <c r="K19" s="208">
        <v>0</v>
      </c>
      <c r="L19" s="208">
        <f>H19+I19-J19-K19</f>
        <v>4298.25</v>
      </c>
      <c r="M19" s="19"/>
      <c r="P19" s="54"/>
      <c r="Q19" s="56"/>
    </row>
    <row r="20" spans="4:17" ht="35.1" customHeight="1" x14ac:dyDescent="0.3">
      <c r="D20" s="204" t="s">
        <v>198</v>
      </c>
      <c r="E20" s="246" t="s">
        <v>199</v>
      </c>
      <c r="F20" s="206">
        <v>15</v>
      </c>
      <c r="G20" s="208">
        <v>2868</v>
      </c>
      <c r="H20" s="208">
        <v>2868</v>
      </c>
      <c r="I20" s="202">
        <f>IFERROR(IF(ROUND((((H20/F20*30.4)-VLOOKUP((H20/F20*30.4),TARIFA,1))*VLOOKUP((H20/F20*30.4),TARIFA,3)+VLOOKUP((H20/F20*30.4),TARIFA,2)-VLOOKUP((H20/F20*30.4),SUBSIDIO,2))/30.4*F20,2)&lt;0,ROUND(-(((H20/F20*30.4)-VLOOKUP((H20/F20*30.4),TARIFA,1))*VLOOKUP((H20/F20*30.4),TARIFA,3)+VLOOKUP((H20/F20*30.4),TARIFA,2)-VLOOKUP((H20/F20*30.4),SUBSIDIO,2))/30.4*F20,2),0),0)</f>
        <v>0</v>
      </c>
      <c r="J20" s="202">
        <f>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</f>
        <v>45.33</v>
      </c>
      <c r="K20" s="208"/>
      <c r="L20" s="208">
        <f>H20-J20</f>
        <v>2822.67</v>
      </c>
      <c r="M20" s="19"/>
      <c r="P20" s="54"/>
      <c r="Q20" s="56"/>
    </row>
    <row r="21" spans="4:17" ht="35.1" customHeight="1" x14ac:dyDescent="0.3">
      <c r="D21" s="207" t="s">
        <v>122</v>
      </c>
      <c r="E21" s="200"/>
      <c r="F21" s="201"/>
      <c r="G21" s="208"/>
      <c r="H21" s="203"/>
      <c r="I21" s="202"/>
      <c r="J21" s="202"/>
      <c r="K21" s="203"/>
      <c r="L21" s="203"/>
      <c r="M21" s="19"/>
      <c r="P21" s="54"/>
      <c r="Q21" s="56"/>
    </row>
    <row r="22" spans="4:17" ht="3" hidden="1" customHeight="1" x14ac:dyDescent="0.3">
      <c r="D22" s="199"/>
      <c r="E22" s="200"/>
      <c r="F22" s="201"/>
      <c r="G22" s="208"/>
      <c r="H22" s="203"/>
      <c r="I22" s="202"/>
      <c r="J22" s="202"/>
      <c r="K22" s="203"/>
      <c r="L22" s="203"/>
      <c r="M22" s="19"/>
      <c r="P22" s="54"/>
      <c r="Q22" s="56"/>
    </row>
    <row r="23" spans="4:17" ht="0.75" hidden="1" customHeight="1" x14ac:dyDescent="0.3">
      <c r="D23" s="199"/>
      <c r="E23" s="200"/>
      <c r="F23" s="201"/>
      <c r="G23" s="208">
        <v>0</v>
      </c>
      <c r="H23" s="203">
        <v>0</v>
      </c>
      <c r="I23" s="202"/>
      <c r="J23" s="202">
        <v>0</v>
      </c>
      <c r="K23" s="203"/>
      <c r="L23" s="203">
        <f>H23-J23</f>
        <v>0</v>
      </c>
      <c r="M23" s="19"/>
      <c r="P23" s="54"/>
      <c r="Q23" s="56"/>
    </row>
    <row r="24" spans="4:17" ht="35.1" customHeight="1" x14ac:dyDescent="0.3">
      <c r="D24" s="204" t="s">
        <v>232</v>
      </c>
      <c r="E24" s="200" t="s">
        <v>233</v>
      </c>
      <c r="F24" s="201">
        <v>15</v>
      </c>
      <c r="G24" s="203">
        <v>3060</v>
      </c>
      <c r="H24" s="203">
        <v>3060</v>
      </c>
      <c r="I24" s="202">
        <f>IFERROR(IF(ROUND((((H24/F24*30.4)-VLOOKUP((H24/F24*30.4),TARIFA,1))*VLOOKUP((H24/F24*30.4),TARIFA,3)+VLOOKUP((H24/F24*30.4),TARIFA,2)-VLOOKUP((H24/F24*30.4),SUBSIDIO,2))/30.4*F24,2)&lt;0,ROUND(-(((H24/F24*30.4)-VLOOKUP((H24/F24*30.4),TARIFA,1))*VLOOKUP((H24/F24*30.4),TARIFA,3)+VLOOKUP((H24/F24*30.4),TARIFA,2)-VLOOKUP((H24/F24*30.4),SUBSIDIO,2))/30.4*F24,2),0),0)</f>
        <v>0</v>
      </c>
      <c r="J24" s="202">
        <f>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</f>
        <v>66.22</v>
      </c>
      <c r="K24" s="203"/>
      <c r="L24" s="203">
        <f>H24-J24</f>
        <v>2993.78</v>
      </c>
      <c r="M24" s="19"/>
      <c r="P24" s="54"/>
      <c r="Q24" s="56"/>
    </row>
    <row r="25" spans="4:17" ht="35.1" customHeight="1" x14ac:dyDescent="0.3">
      <c r="D25" s="204" t="s">
        <v>250</v>
      </c>
      <c r="E25" s="200" t="s">
        <v>69</v>
      </c>
      <c r="F25" s="201">
        <v>15</v>
      </c>
      <c r="G25" s="203">
        <v>2868</v>
      </c>
      <c r="H25" s="203">
        <v>2868</v>
      </c>
      <c r="I25" s="202">
        <f>IFERROR(IF(ROUND((((H25/F25*30.4)-VLOOKUP((H25/F25*30.4),TARIFA,1))*VLOOKUP((H25/F25*30.4),TARIFA,3)+VLOOKUP((H25/F25*30.4),TARIFA,2)-VLOOKUP((H25/F25*30.4),SUBSIDIO,2))/30.4*F25,2)&lt;0,ROUND(-(((H25/F25*30.4)-VLOOKUP((H25/F25*30.4),TARIFA,1))*VLOOKUP((H25/F25*30.4),TARIFA,3)+VLOOKUP((H25/F25*30.4),TARIFA,2)-VLOOKUP((H25/F25*30.4),SUBSIDIO,2))/30.4*F25,2),0),0)</f>
        <v>0</v>
      </c>
      <c r="J25" s="202">
        <f>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</f>
        <v>45.33</v>
      </c>
      <c r="K25" s="203"/>
      <c r="L25" s="203">
        <f>H25-J25</f>
        <v>2822.67</v>
      </c>
      <c r="M25" s="19"/>
      <c r="P25" s="54"/>
      <c r="Q25" s="56"/>
    </row>
    <row r="26" spans="4:17" ht="35.1" customHeight="1" x14ac:dyDescent="0.3">
      <c r="D26" s="207" t="s">
        <v>99</v>
      </c>
      <c r="E26" s="200"/>
      <c r="F26" s="201"/>
      <c r="G26" s="208"/>
      <c r="H26" s="203"/>
      <c r="I26" s="202"/>
      <c r="J26" s="202"/>
      <c r="K26" s="203"/>
      <c r="L26" s="203"/>
      <c r="M26" s="19"/>
      <c r="P26" s="54"/>
      <c r="Q26" s="56"/>
    </row>
    <row r="27" spans="4:17" ht="35.1" customHeight="1" x14ac:dyDescent="0.3">
      <c r="D27" s="199" t="s">
        <v>173</v>
      </c>
      <c r="E27" s="200" t="s">
        <v>219</v>
      </c>
      <c r="F27" s="201">
        <v>15</v>
      </c>
      <c r="G27" s="208">
        <v>3420</v>
      </c>
      <c r="H27" s="203">
        <f>G27</f>
        <v>3420</v>
      </c>
      <c r="I27" s="202">
        <f>IFERROR(IF(ROUND((((H27/F27*30.4)-VLOOKUP((H27/F27*30.4),TARIFA,1))*VLOOKUP((H27/F27*30.4),TARIFA,3)+VLOOKUP((H27/F27*30.4),TARIFA,2)-VLOOKUP((H27/F27*30.4),SUBSIDIO,2))/30.4*F27,2)&lt;0,ROUND(-(((H27/F27*30.4)-VLOOKUP((H27/F27*30.4),TARIFA,1))*VLOOKUP((H27/F27*30.4),TARIFA,3)+VLOOKUP((H27/F27*30.4),TARIFA,2)-VLOOKUP((H27/F27*30.4),SUBSIDIO,2))/30.4*F27,2),0),0)</f>
        <v>0</v>
      </c>
      <c r="J27" s="202">
        <f>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</f>
        <v>125.66</v>
      </c>
      <c r="K27" s="203">
        <v>0</v>
      </c>
      <c r="L27" s="203">
        <f>H27+I27-J27-K27</f>
        <v>3294.34</v>
      </c>
      <c r="M27" s="19"/>
      <c r="P27" s="54"/>
      <c r="Q27" s="56"/>
    </row>
    <row r="28" spans="4:17" ht="35.1" customHeight="1" x14ac:dyDescent="0.3">
      <c r="D28" s="233"/>
      <c r="E28" s="200"/>
      <c r="F28" s="201"/>
      <c r="G28" s="208"/>
      <c r="H28" s="208"/>
      <c r="I28" s="208"/>
      <c r="J28" s="208"/>
      <c r="K28" s="208"/>
      <c r="L28" s="208"/>
      <c r="M28" s="19"/>
      <c r="P28" s="54"/>
      <c r="Q28" s="56"/>
    </row>
    <row r="29" spans="4:17" ht="35.1" customHeight="1" x14ac:dyDescent="0.3">
      <c r="D29" s="209" t="s">
        <v>200</v>
      </c>
      <c r="E29" s="200"/>
      <c r="F29" s="201"/>
      <c r="G29" s="208"/>
      <c r="H29" s="203"/>
      <c r="I29" s="202"/>
      <c r="J29" s="202"/>
      <c r="K29" s="203"/>
      <c r="L29" s="203"/>
      <c r="M29" s="19"/>
      <c r="P29" s="54"/>
      <c r="Q29" s="56"/>
    </row>
    <row r="30" spans="4:17" ht="35.1" customHeight="1" x14ac:dyDescent="0.3">
      <c r="D30" s="210" t="s">
        <v>202</v>
      </c>
      <c r="E30" s="211" t="s">
        <v>201</v>
      </c>
      <c r="F30" s="201">
        <v>15</v>
      </c>
      <c r="G30" s="208">
        <v>3765</v>
      </c>
      <c r="H30" s="203">
        <f>G30</f>
        <v>3765</v>
      </c>
      <c r="I30" s="202">
        <f>IFERROR(IF(ROUND((((H30/F30*30.4)-VLOOKUP((H30/F30*30.4),TARIFA,1))*VLOOKUP((H30/F30*30.4),TARIFA,3)+VLOOKUP((H30/F30*30.4),TARIFA,2)-VLOOKUP((H30/F30*30.4),SUBSIDIO,2))/30.4*F30,2)&lt;0,ROUND(-(((H30/F30*30.4)-VLOOKUP((H30/F30*30.4),TARIFA,1))*VLOOKUP((H30/F30*30.4),TARIFA,3)+VLOOKUP((H30/F30*30.4),TARIFA,2)-VLOOKUP((H30/F30*30.4),SUBSIDIO,2))/30.4*F30,2),0),0)</f>
        <v>0</v>
      </c>
      <c r="J30" s="202">
        <f>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</f>
        <v>288.3</v>
      </c>
      <c r="K30" s="203">
        <v>0</v>
      </c>
      <c r="L30" s="203">
        <f>H30+I30-J30-K30</f>
        <v>3476.7</v>
      </c>
      <c r="M30" s="19"/>
      <c r="P30" s="54"/>
      <c r="Q30" s="56"/>
    </row>
    <row r="31" spans="4:17" ht="35.1" customHeight="1" x14ac:dyDescent="0.3">
      <c r="D31" s="210" t="s">
        <v>203</v>
      </c>
      <c r="E31" s="200" t="s">
        <v>13</v>
      </c>
      <c r="F31" s="201">
        <v>15</v>
      </c>
      <c r="G31" s="208">
        <v>2147</v>
      </c>
      <c r="H31" s="203">
        <v>2147</v>
      </c>
      <c r="I31" s="202">
        <f>IFERROR(IF(ROUND((((H31/F31*30.4)-VLOOKUP((H31/F31*30.4),TARIFA,1))*VLOOKUP((H31/F31*30.4),TARIFA,3)+VLOOKUP((H31/F31*30.4),TARIFA,2)-VLOOKUP((H31/F31*30.4),SUBSIDIO,2))/30.4*F31,2)&lt;0,ROUND(-(((H31/F31*30.4)-VLOOKUP((H31/F31*30.4),TARIFA,1))*VLOOKUP((H31/F31*30.4),TARIFA,3)+VLOOKUP((H31/F31*30.4),TARIFA,2)-VLOOKUP((H31/F31*30.4),SUBSIDIO,2))/30.4*F31,2),0),0)</f>
        <v>64.09</v>
      </c>
      <c r="J31" s="202">
        <f>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</f>
        <v>0</v>
      </c>
      <c r="K31" s="203"/>
      <c r="L31" s="203">
        <f>H31+I31</f>
        <v>2211.09</v>
      </c>
      <c r="M31" s="19"/>
      <c r="P31" s="54"/>
      <c r="Q31" s="56"/>
    </row>
    <row r="32" spans="4:17" ht="35.1" customHeight="1" x14ac:dyDescent="0.3">
      <c r="D32" s="210" t="s">
        <v>96</v>
      </c>
      <c r="E32" s="200" t="s">
        <v>13</v>
      </c>
      <c r="F32" s="201">
        <v>15</v>
      </c>
      <c r="G32" s="208">
        <v>3239</v>
      </c>
      <c r="H32" s="203">
        <v>3239</v>
      </c>
      <c r="I32" s="202">
        <f>IFERROR(IF(ROUND((((H32/F32*30.4)-VLOOKUP((H32/F32*30.4),TARIFA,1))*VLOOKUP((H32/F32*30.4),TARIFA,3)+VLOOKUP((H32/F32*30.4),TARIFA,2)-VLOOKUP((H32/F32*30.4),SUBSIDIO,2))/30.4*F32,2)&lt;0,ROUND(-(((H32/F32*30.4)-VLOOKUP((H32/F32*30.4),TARIFA,1))*VLOOKUP((H32/F32*30.4),TARIFA,3)+VLOOKUP((H32/F32*30.4),TARIFA,2)-VLOOKUP((H32/F32*30.4),SUBSIDIO,2))/30.4*F32,2),0),0)</f>
        <v>0</v>
      </c>
      <c r="J32" s="202">
        <f>IFERROR(IF(ROUND((((H32/F32*30.4)-VLOOKUP((H32/F32*30.4),TARIFA,1))*VLOOKUP((H32/F32*30.4),TARIFA,3)+VLOOKUP((H32/F32*30.4),TARIFA,2)-VLOOKUP((H32/F32*30.4),SUBSIDIO,2))/30.4*F32,2)&gt;0,ROUND((((H32/F32*30.4)-VLOOKUP((H32/F32*30.4),TARIFA,1))*VLOOKUP((H32/F32*30.4),TARIFA,3)+VLOOKUP((H32/F32*30.4),TARIFA,2)-VLOOKUP((H32/F32*30.4),SUBSIDIO,2))/30.4*F32,2),0),0)</f>
        <v>105.97</v>
      </c>
      <c r="K32" s="203"/>
      <c r="L32" s="203">
        <f>H32-J32</f>
        <v>3133.03</v>
      </c>
      <c r="M32" s="19"/>
      <c r="P32" s="54"/>
      <c r="Q32" s="56"/>
    </row>
    <row r="33" spans="2:17" ht="35.1" customHeight="1" x14ac:dyDescent="0.3">
      <c r="D33" s="209" t="s">
        <v>214</v>
      </c>
      <c r="E33" s="200"/>
      <c r="F33" s="201"/>
      <c r="G33" s="208"/>
      <c r="H33" s="203"/>
      <c r="I33" s="202"/>
      <c r="J33" s="202"/>
      <c r="K33" s="203"/>
      <c r="L33" s="203"/>
      <c r="M33" s="19"/>
      <c r="P33" s="54"/>
      <c r="Q33" s="56"/>
    </row>
    <row r="34" spans="2:17" ht="35.1" customHeight="1" x14ac:dyDescent="0.3">
      <c r="D34" s="210" t="s">
        <v>215</v>
      </c>
      <c r="E34" s="245" t="s">
        <v>217</v>
      </c>
      <c r="F34" s="201">
        <v>15</v>
      </c>
      <c r="G34" s="208">
        <v>6619</v>
      </c>
      <c r="H34" s="203">
        <v>6619</v>
      </c>
      <c r="I34" s="202">
        <f>IFERROR(IF(ROUND((((H34/F34*30.4)-VLOOKUP((H34/F34*30.4),TARIFA,1))*VLOOKUP((H34/F34*30.4),TARIFA,3)+VLOOKUP((H34/F34*30.4),TARIFA,2)-VLOOKUP((H34/F34*30.4),SUBSIDIO,2))/30.4*F34,2)&lt;0,ROUND(-(((H34/F34*30.4)-VLOOKUP((H34/F34*30.4),TARIFA,1))*VLOOKUP((H34/F34*30.4),TARIFA,3)+VLOOKUP((H34/F34*30.4),TARIFA,2)-VLOOKUP((H34/F34*30.4),SUBSIDIO,2))/30.4*F34,2),0),0)</f>
        <v>0</v>
      </c>
      <c r="J34" s="202">
        <f>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</f>
        <v>775.6</v>
      </c>
      <c r="K34" s="203"/>
      <c r="L34" s="203">
        <f>H34-J34</f>
        <v>5843.4</v>
      </c>
      <c r="M34" s="19"/>
      <c r="P34" s="54"/>
      <c r="Q34" s="56"/>
    </row>
    <row r="35" spans="2:17" ht="35.1" customHeight="1" x14ac:dyDescent="0.3">
      <c r="D35" s="210" t="s">
        <v>216</v>
      </c>
      <c r="E35" s="245" t="s">
        <v>218</v>
      </c>
      <c r="F35" s="201">
        <v>15</v>
      </c>
      <c r="G35" s="208">
        <v>2449</v>
      </c>
      <c r="H35" s="203">
        <v>2449</v>
      </c>
      <c r="I35" s="202">
        <f>IFERROR(IF(ROUND((((H35/F35*30.4)-VLOOKUP((H35/F35*30.4),TARIFA,1))*VLOOKUP((H35/F35*30.4),TARIFA,3)+VLOOKUP((H35/F35*30.4),TARIFA,2)-VLOOKUP((H35/F35*30.4),SUBSIDIO,2))/30.4*F35,2)&lt;0,ROUND(-(((H35/F35*30.4)-VLOOKUP((H35/F35*30.4),TARIFA,1))*VLOOKUP((H35/F35*30.4),TARIFA,3)+VLOOKUP((H35/F35*30.4),TARIFA,2)-VLOOKUP((H35/F35*30.4),SUBSIDIO,2))/30.4*F35,2),0),0)</f>
        <v>15.18</v>
      </c>
      <c r="J35" s="202">
        <f>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</f>
        <v>0</v>
      </c>
      <c r="K35" s="203"/>
      <c r="L35" s="203">
        <f>H35+I35</f>
        <v>2464.1799999999998</v>
      </c>
      <c r="M35" s="19"/>
      <c r="P35" s="54"/>
      <c r="Q35" s="56"/>
    </row>
    <row r="36" spans="2:17" ht="35.1" customHeight="1" x14ac:dyDescent="0.3">
      <c r="D36" s="212" t="s">
        <v>37</v>
      </c>
      <c r="E36" s="211"/>
      <c r="F36" s="213"/>
      <c r="G36" s="214"/>
      <c r="H36" s="214"/>
      <c r="I36" s="353"/>
      <c r="J36" s="353"/>
      <c r="K36" s="214"/>
      <c r="L36" s="214"/>
      <c r="M36" s="19"/>
      <c r="P36" s="54"/>
      <c r="Q36" s="56"/>
    </row>
    <row r="37" spans="2:17" ht="35.1" customHeight="1" x14ac:dyDescent="0.3">
      <c r="D37" s="204" t="s">
        <v>291</v>
      </c>
      <c r="E37" s="200" t="s">
        <v>38</v>
      </c>
      <c r="F37" s="201">
        <v>15</v>
      </c>
      <c r="G37" s="203">
        <v>2322</v>
      </c>
      <c r="H37" s="203">
        <v>2322</v>
      </c>
      <c r="I37" s="202">
        <f>IFERROR(IF(ROUND((((H37/F37*30.4)-VLOOKUP((H37/F37*30.4),TARIFA,1))*VLOOKUP((H37/F37*30.4),TARIFA,3)+VLOOKUP((H37/F37*30.4),TARIFA,2)-VLOOKUP((H37/F37*30.4),SUBSIDIO,2))/30.4*F37,2)&lt;0,ROUND(-(((H37/F37*30.4)-VLOOKUP((H37/F37*30.4),TARIFA,1))*VLOOKUP((H37/F37*30.4),TARIFA,3)+VLOOKUP((H37/F37*30.4),TARIFA,2)-VLOOKUP((H37/F37*30.4),SUBSIDIO,2))/30.4*F37,2),0),0)</f>
        <v>38.96</v>
      </c>
      <c r="J37" s="202">
        <f>IFERROR(IF(ROUND((((H37/F37*30.4)-VLOOKUP((H37/F37*30.4),TARIFA,1))*VLOOKUP((H37/F37*30.4),TARIFA,3)+VLOOKUP((H37/F37*30.4),TARIFA,2)-VLOOKUP((H37/F37*30.4),SUBSIDIO,2))/30.4*F37,2)&gt;0,ROUND((((H37/F37*30.4)-VLOOKUP((H37/F37*30.4),TARIFA,1))*VLOOKUP((H37/F37*30.4),TARIFA,3)+VLOOKUP((H37/F37*30.4),TARIFA,2)-VLOOKUP((H37/F37*30.4),SUBSIDIO,2))/30.4*F37,2),0),0)</f>
        <v>0</v>
      </c>
      <c r="K37" s="203">
        <v>0</v>
      </c>
      <c r="L37" s="203">
        <f>H37+I37-J37-K37</f>
        <v>2360.96</v>
      </c>
      <c r="M37" s="19"/>
      <c r="P37" s="54"/>
      <c r="Q37" s="56"/>
    </row>
    <row r="38" spans="2:17" ht="35.1" customHeight="1" x14ac:dyDescent="0.3">
      <c r="D38" s="253" t="s">
        <v>279</v>
      </c>
      <c r="E38" s="200" t="s">
        <v>34</v>
      </c>
      <c r="F38" s="201">
        <v>15</v>
      </c>
      <c r="G38" s="208">
        <v>1858</v>
      </c>
      <c r="H38" s="203">
        <v>1858</v>
      </c>
      <c r="I38" s="202">
        <f>IFERROR(IF(ROUND((((H38/F38*30.4)-VLOOKUP((H38/F38*30.4),TARIFA,1))*VLOOKUP((H38/F38*30.4),TARIFA,3)+VLOOKUP((H38/F38*30.4),TARIFA,2)-VLOOKUP((H38/F38*30.4),SUBSIDIO,2))/30.4*F38,2)&lt;0,ROUND(-(((H38/F38*30.4)-VLOOKUP((H38/F38*30.4),TARIFA,1))*VLOOKUP((H38/F38*30.4),TARIFA,3)+VLOOKUP((H38/F38*30.4),TARIFA,2)-VLOOKUP((H38/F38*30.4),SUBSIDIO,2))/30.4*F38,2),0),0)</f>
        <v>82.59</v>
      </c>
      <c r="J38" s="202">
        <f>IFERROR(IF(ROUND((((H38/F38*30.4)-VLOOKUP((H38/F38*30.4),TARIFA,1))*VLOOKUP((H38/F38*30.4),TARIFA,3)+VLOOKUP((H38/F38*30.4),TARIFA,2)-VLOOKUP((H38/F38*30.4),SUBSIDIO,2))/30.4*F38,2)&gt;0,ROUND((((H38/F38*30.4)-VLOOKUP((H38/F38*30.4),TARIFA,1))*VLOOKUP((H38/F38*30.4),TARIFA,3)+VLOOKUP((H38/F38*30.4),TARIFA,2)-VLOOKUP((H38/F38*30.4),SUBSIDIO,2))/30.4*F38,2),0),0)</f>
        <v>0</v>
      </c>
      <c r="K38" s="203">
        <v>0</v>
      </c>
      <c r="L38" s="203">
        <f>H38+I38-J38-K38</f>
        <v>1940.59</v>
      </c>
      <c r="M38" s="19"/>
      <c r="P38" s="54"/>
      <c r="Q38" s="56"/>
    </row>
    <row r="39" spans="2:17" ht="35.1" customHeight="1" x14ac:dyDescent="0.3">
      <c r="D39" s="215" t="s">
        <v>172</v>
      </c>
      <c r="E39" s="200"/>
      <c r="F39" s="201"/>
      <c r="G39" s="203"/>
      <c r="H39" s="203"/>
      <c r="I39" s="202"/>
      <c r="J39" s="202"/>
      <c r="K39" s="203"/>
      <c r="L39" s="203"/>
      <c r="M39" s="19"/>
      <c r="P39" s="54"/>
      <c r="Q39" s="56"/>
    </row>
    <row r="40" spans="2:17" ht="35.1" customHeight="1" x14ac:dyDescent="0.3">
      <c r="D40" s="199"/>
      <c r="E40" s="245"/>
      <c r="F40" s="201"/>
      <c r="G40" s="203"/>
      <c r="H40" s="203"/>
      <c r="I40" s="202"/>
      <c r="J40" s="202"/>
      <c r="K40" s="203"/>
      <c r="L40" s="203"/>
      <c r="M40" s="19"/>
      <c r="P40" s="54"/>
      <c r="Q40" s="56"/>
    </row>
    <row r="41" spans="2:17" ht="35.1" customHeight="1" x14ac:dyDescent="0.3">
      <c r="D41" s="233" t="s">
        <v>280</v>
      </c>
      <c r="E41" s="200" t="s">
        <v>41</v>
      </c>
      <c r="F41" s="201">
        <v>15</v>
      </c>
      <c r="G41" s="208">
        <v>3132</v>
      </c>
      <c r="H41" s="203">
        <f>G41</f>
        <v>3132</v>
      </c>
      <c r="I41" s="202">
        <f>IFERROR(IF(ROUND((((H41/F41*30.4)-VLOOKUP((H41/F41*30.4),TARIFA,1))*VLOOKUP((H41/F41*30.4),TARIFA,3)+VLOOKUP((H41/F41*30.4),TARIFA,2)-VLOOKUP((H41/F41*30.4),SUBSIDIO,2))/30.4*F41,2)&lt;0,ROUND(-(((H41/F41*30.4)-VLOOKUP((H41/F41*30.4),TARIFA,1))*VLOOKUP((H41/F41*30.4),TARIFA,3)+VLOOKUP((H41/F41*30.4),TARIFA,2)-VLOOKUP((H41/F41*30.4),SUBSIDIO,2))/30.4*F41,2),0),0)</f>
        <v>0</v>
      </c>
      <c r="J41" s="202">
        <f>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</f>
        <v>94.33</v>
      </c>
      <c r="K41" s="203">
        <v>0</v>
      </c>
      <c r="L41" s="203">
        <f>H41+I41-J41-K41</f>
        <v>3037.67</v>
      </c>
      <c r="M41" s="19"/>
      <c r="P41" s="54"/>
      <c r="Q41" s="56"/>
    </row>
    <row r="42" spans="2:17" ht="32.1" customHeight="1" x14ac:dyDescent="0.2">
      <c r="D42" s="168"/>
      <c r="E42" s="166"/>
      <c r="F42" s="167"/>
      <c r="G42" s="160"/>
      <c r="H42" s="145"/>
      <c r="I42" s="337"/>
      <c r="J42" s="337"/>
      <c r="K42" s="145"/>
      <c r="L42" s="145">
        <f>H42+I42</f>
        <v>0</v>
      </c>
      <c r="M42" s="19"/>
      <c r="P42" s="54"/>
      <c r="Q42" s="56"/>
    </row>
    <row r="43" spans="2:17" ht="30" customHeight="1" x14ac:dyDescent="0.2">
      <c r="D43" s="64"/>
      <c r="E43" s="72"/>
      <c r="F43" s="73"/>
      <c r="G43" s="74">
        <f>SUM(G12:G41)</f>
        <v>55923</v>
      </c>
      <c r="H43" s="74">
        <f>SUM(H12:H41)</f>
        <v>55923</v>
      </c>
      <c r="I43" s="74">
        <f>SUM(I12:I42)</f>
        <v>404.84000000000003</v>
      </c>
      <c r="J43" s="74">
        <f>SUM(J12:J42)</f>
        <v>2908.8199999999997</v>
      </c>
      <c r="K43" s="74" t="e">
        <f>K41+K40+K38+K37+K35+K34+K32+K31+K30+K27+K25+K24+K23+K20+K19+#REF!+K16+K14+K13+K12</f>
        <v>#REF!</v>
      </c>
      <c r="L43" s="74">
        <f>SUM(L12:L42)</f>
        <v>53419.02</v>
      </c>
      <c r="M43" s="76"/>
      <c r="P43" s="54"/>
      <c r="Q43" s="56"/>
    </row>
    <row r="44" spans="2:17" ht="39.950000000000003" customHeight="1" x14ac:dyDescent="0.3">
      <c r="B44" s="65"/>
      <c r="C44" s="65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P44" s="54"/>
      <c r="Q44" s="56"/>
    </row>
    <row r="45" spans="2:17" ht="39.950000000000003" customHeight="1" x14ac:dyDescent="0.3">
      <c r="B45" s="65"/>
      <c r="C45" s="65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P45" s="54"/>
      <c r="Q45" s="56"/>
    </row>
    <row r="46" spans="2:17" ht="39.950000000000003" customHeight="1" x14ac:dyDescent="0.3">
      <c r="B46" s="65"/>
      <c r="C46" s="65"/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P46" s="54"/>
      <c r="Q46" s="56"/>
    </row>
    <row r="47" spans="2:17" ht="39.950000000000003" customHeight="1" x14ac:dyDescent="0.3">
      <c r="B47" s="65"/>
      <c r="C47" s="65"/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P47" s="54"/>
      <c r="Q47" s="56"/>
    </row>
    <row r="48" spans="2:17" ht="39.950000000000003" customHeight="1" x14ac:dyDescent="0.2">
      <c r="B48" s="65"/>
      <c r="C48" s="65"/>
      <c r="D48" s="108"/>
      <c r="E48" s="108"/>
      <c r="F48" s="109" t="s">
        <v>3</v>
      </c>
      <c r="G48" s="422" t="s">
        <v>0</v>
      </c>
      <c r="H48" s="423"/>
      <c r="I48" s="424"/>
      <c r="J48" s="348"/>
      <c r="K48" s="110"/>
      <c r="L48" s="109"/>
      <c r="M48" s="111"/>
      <c r="P48" s="54"/>
      <c r="Q48" s="56"/>
    </row>
    <row r="49" spans="2:17" ht="39.950000000000003" customHeight="1" x14ac:dyDescent="0.2">
      <c r="B49" s="65"/>
      <c r="C49" s="65"/>
      <c r="D49" s="111"/>
      <c r="E49" s="109"/>
      <c r="F49" s="112" t="s">
        <v>4</v>
      </c>
      <c r="G49" s="113" t="s">
        <v>1</v>
      </c>
      <c r="H49" s="113" t="s">
        <v>152</v>
      </c>
      <c r="I49" s="349" t="s">
        <v>155</v>
      </c>
      <c r="J49" s="349"/>
      <c r="K49" s="109" t="s">
        <v>169</v>
      </c>
      <c r="L49" s="109" t="s">
        <v>154</v>
      </c>
      <c r="M49" s="114"/>
      <c r="P49" s="54"/>
      <c r="Q49" s="56"/>
    </row>
    <row r="50" spans="2:17" ht="39.950000000000003" customHeight="1" x14ac:dyDescent="0.25">
      <c r="B50" s="65"/>
      <c r="C50" s="65"/>
      <c r="D50" s="115"/>
      <c r="E50" s="116" t="s">
        <v>8</v>
      </c>
      <c r="F50" s="109"/>
      <c r="G50" s="109" t="s">
        <v>6</v>
      </c>
      <c r="H50" s="109" t="s">
        <v>154</v>
      </c>
      <c r="I50" s="112" t="s">
        <v>156</v>
      </c>
      <c r="J50" s="112" t="s">
        <v>157</v>
      </c>
      <c r="K50" s="109" t="s">
        <v>171</v>
      </c>
      <c r="L50" s="109" t="s">
        <v>160</v>
      </c>
      <c r="M50" s="113" t="s">
        <v>163</v>
      </c>
      <c r="P50" s="54"/>
      <c r="Q50" s="56"/>
    </row>
    <row r="51" spans="2:17" ht="39.950000000000003" customHeight="1" x14ac:dyDescent="0.25">
      <c r="B51" s="65"/>
      <c r="C51" s="65"/>
      <c r="D51" s="115" t="s">
        <v>74</v>
      </c>
      <c r="E51" s="115" t="s">
        <v>7</v>
      </c>
      <c r="F51" s="113"/>
      <c r="G51" s="113"/>
      <c r="H51" s="113"/>
      <c r="I51" s="349"/>
      <c r="J51" s="350"/>
      <c r="K51" s="117"/>
      <c r="L51" s="113"/>
      <c r="M51" s="113"/>
      <c r="P51" s="54"/>
      <c r="Q51" s="56"/>
    </row>
    <row r="52" spans="2:17" ht="39.950000000000003" customHeight="1" x14ac:dyDescent="0.3">
      <c r="D52" s="217" t="s">
        <v>224</v>
      </c>
      <c r="E52" s="218"/>
      <c r="F52" s="219"/>
      <c r="G52" s="220"/>
      <c r="H52" s="221"/>
      <c r="I52" s="354"/>
      <c r="J52" s="354"/>
      <c r="K52" s="221"/>
      <c r="L52" s="214"/>
      <c r="M52" s="63"/>
      <c r="P52" s="54"/>
      <c r="Q52" s="56"/>
    </row>
    <row r="53" spans="2:17" ht="39.950000000000003" customHeight="1" x14ac:dyDescent="0.3">
      <c r="D53" s="216" t="s">
        <v>247</v>
      </c>
      <c r="E53" s="200" t="s">
        <v>30</v>
      </c>
      <c r="F53" s="201">
        <v>0</v>
      </c>
      <c r="G53" s="203">
        <v>0</v>
      </c>
      <c r="H53" s="203">
        <v>0</v>
      </c>
      <c r="I53" s="202">
        <f t="shared" ref="I53:I74" si="0">IFERROR(IF(ROUND((((H53/F53*30.4)-VLOOKUP((H53/F53*30.4),TARIFA,1))*VLOOKUP((H53/F53*30.4),TARIFA,3)+VLOOKUP((H53/F53*30.4),TARIFA,2)-VLOOKUP((H53/F53*30.4),SUBSIDIO,2))/30.4*F53,2)&lt;0,ROUND(-(((H53/F53*30.4)-VLOOKUP((H53/F53*30.4),TARIFA,1))*VLOOKUP((H53/F53*30.4),TARIFA,3)+VLOOKUP((H53/F53*30.4),TARIFA,2)-VLOOKUP((H53/F53*30.4),SUBSIDIO,2))/30.4*F53,2),0),0)</f>
        <v>0</v>
      </c>
      <c r="J53" s="202">
        <f t="shared" ref="J53:J74" si="1">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</f>
        <v>0</v>
      </c>
      <c r="K53" s="203"/>
      <c r="L53" s="203">
        <f>H53+I53</f>
        <v>0</v>
      </c>
      <c r="M53" s="19"/>
      <c r="P53" s="54"/>
      <c r="Q53" s="56"/>
    </row>
    <row r="54" spans="2:17" ht="39.950000000000003" customHeight="1" x14ac:dyDescent="0.3">
      <c r="D54" s="216" t="s">
        <v>248</v>
      </c>
      <c r="E54" s="200" t="s">
        <v>30</v>
      </c>
      <c r="F54" s="201">
        <v>15</v>
      </c>
      <c r="G54" s="203">
        <v>2220</v>
      </c>
      <c r="H54" s="203">
        <v>2220</v>
      </c>
      <c r="I54" s="202">
        <f t="shared" si="0"/>
        <v>45.49</v>
      </c>
      <c r="J54" s="202">
        <f t="shared" si="1"/>
        <v>0</v>
      </c>
      <c r="K54" s="203"/>
      <c r="L54" s="203">
        <f>H54+I54</f>
        <v>2265.4899999999998</v>
      </c>
      <c r="M54" s="19"/>
      <c r="P54" s="54"/>
      <c r="Q54" s="56"/>
    </row>
    <row r="55" spans="2:17" ht="39.950000000000003" customHeight="1" x14ac:dyDescent="0.3">
      <c r="D55" s="216" t="s">
        <v>249</v>
      </c>
      <c r="E55" s="200" t="s">
        <v>30</v>
      </c>
      <c r="F55" s="201">
        <v>15</v>
      </c>
      <c r="G55" s="203">
        <v>2220</v>
      </c>
      <c r="H55" s="203">
        <v>2220</v>
      </c>
      <c r="I55" s="202">
        <f t="shared" si="0"/>
        <v>45.49</v>
      </c>
      <c r="J55" s="202">
        <f t="shared" si="1"/>
        <v>0</v>
      </c>
      <c r="K55" s="203"/>
      <c r="L55" s="203">
        <f>H55+I55</f>
        <v>2265.4899999999998</v>
      </c>
      <c r="M55" s="19"/>
      <c r="P55" s="54"/>
      <c r="Q55" s="56"/>
    </row>
    <row r="56" spans="2:17" ht="39.950000000000003" customHeight="1" x14ac:dyDescent="0.3">
      <c r="D56" s="216" t="s">
        <v>246</v>
      </c>
      <c r="E56" s="200" t="s">
        <v>38</v>
      </c>
      <c r="F56" s="201">
        <v>15</v>
      </c>
      <c r="G56" s="203">
        <v>2398</v>
      </c>
      <c r="H56" s="203">
        <v>2398</v>
      </c>
      <c r="I56" s="202">
        <f t="shared" si="0"/>
        <v>19.61</v>
      </c>
      <c r="J56" s="202">
        <f t="shared" si="1"/>
        <v>0</v>
      </c>
      <c r="K56" s="203"/>
      <c r="L56" s="203">
        <f>H56+I56</f>
        <v>2417.61</v>
      </c>
      <c r="M56" s="19"/>
      <c r="P56" s="54"/>
      <c r="Q56" s="56"/>
    </row>
    <row r="57" spans="2:17" ht="39.950000000000003" customHeight="1" x14ac:dyDescent="0.3">
      <c r="D57" s="216" t="s">
        <v>225</v>
      </c>
      <c r="E57" s="200" t="s">
        <v>36</v>
      </c>
      <c r="F57" s="201">
        <v>15</v>
      </c>
      <c r="G57" s="208">
        <v>2785</v>
      </c>
      <c r="H57" s="203">
        <v>2785</v>
      </c>
      <c r="I57" s="202">
        <f t="shared" si="0"/>
        <v>0</v>
      </c>
      <c r="J57" s="202">
        <f t="shared" si="1"/>
        <v>36.299999999999997</v>
      </c>
      <c r="K57" s="203"/>
      <c r="L57" s="214">
        <f>H57+I57-J57-K57</f>
        <v>2748.7</v>
      </c>
      <c r="M57" s="19"/>
      <c r="P57" s="54"/>
      <c r="Q57" s="56"/>
    </row>
    <row r="58" spans="2:17" ht="39.950000000000003" customHeight="1" x14ac:dyDescent="0.3">
      <c r="D58" s="222" t="s">
        <v>213</v>
      </c>
      <c r="E58" s="223" t="s">
        <v>29</v>
      </c>
      <c r="F58" s="224">
        <v>15</v>
      </c>
      <c r="G58" s="203">
        <v>5358</v>
      </c>
      <c r="H58" s="203">
        <v>5358</v>
      </c>
      <c r="I58" s="202">
        <f t="shared" si="0"/>
        <v>0</v>
      </c>
      <c r="J58" s="202">
        <f t="shared" si="1"/>
        <v>525.79</v>
      </c>
      <c r="K58" s="203">
        <v>0</v>
      </c>
      <c r="L58" s="214">
        <f>H58+I58-J58-K58</f>
        <v>4832.21</v>
      </c>
      <c r="M58" s="19"/>
      <c r="P58" s="54"/>
      <c r="Q58" s="56"/>
    </row>
    <row r="59" spans="2:17" ht="39.950000000000003" customHeight="1" x14ac:dyDescent="0.3">
      <c r="D59" s="225" t="s">
        <v>56</v>
      </c>
      <c r="E59" s="226" t="s">
        <v>30</v>
      </c>
      <c r="F59" s="224">
        <v>15</v>
      </c>
      <c r="G59" s="208">
        <v>2201</v>
      </c>
      <c r="H59" s="203">
        <f>G59</f>
        <v>2201</v>
      </c>
      <c r="I59" s="202">
        <f t="shared" si="0"/>
        <v>46.71</v>
      </c>
      <c r="J59" s="202">
        <f t="shared" si="1"/>
        <v>0</v>
      </c>
      <c r="K59" s="203">
        <v>0</v>
      </c>
      <c r="L59" s="203">
        <f>H59+I59-J59-K59</f>
        <v>2247.71</v>
      </c>
      <c r="M59" s="19"/>
      <c r="P59" s="54"/>
      <c r="Q59" s="56"/>
    </row>
    <row r="60" spans="2:17" ht="39.950000000000003" customHeight="1" x14ac:dyDescent="0.3">
      <c r="D60" s="225" t="s">
        <v>103</v>
      </c>
      <c r="E60" s="226" t="s">
        <v>30</v>
      </c>
      <c r="F60" s="224">
        <v>15</v>
      </c>
      <c r="G60" s="208">
        <v>2785</v>
      </c>
      <c r="H60" s="203">
        <v>2785</v>
      </c>
      <c r="I60" s="202">
        <f t="shared" si="0"/>
        <v>0</v>
      </c>
      <c r="J60" s="202">
        <f t="shared" si="1"/>
        <v>36.299999999999997</v>
      </c>
      <c r="K60" s="203"/>
      <c r="L60" s="214">
        <f>H60+I60-J60-K60</f>
        <v>2748.7</v>
      </c>
      <c r="M60" s="19"/>
      <c r="P60" s="54"/>
      <c r="Q60" s="56"/>
    </row>
    <row r="61" spans="2:17" ht="39.950000000000003" customHeight="1" x14ac:dyDescent="0.3">
      <c r="D61" s="222" t="s">
        <v>107</v>
      </c>
      <c r="E61" s="223" t="s">
        <v>106</v>
      </c>
      <c r="F61" s="224">
        <v>15</v>
      </c>
      <c r="G61" s="208">
        <v>3226</v>
      </c>
      <c r="H61" s="203">
        <f>G61</f>
        <v>3226</v>
      </c>
      <c r="I61" s="202">
        <f t="shared" si="0"/>
        <v>0</v>
      </c>
      <c r="J61" s="202">
        <f t="shared" si="1"/>
        <v>104.56</v>
      </c>
      <c r="K61" s="203">
        <v>0</v>
      </c>
      <c r="L61" s="203">
        <f>H61+I61-J61-K61</f>
        <v>3121.44</v>
      </c>
      <c r="M61" s="19"/>
      <c r="P61" s="54"/>
      <c r="Q61" s="56"/>
    </row>
    <row r="62" spans="2:17" ht="39.950000000000003" customHeight="1" x14ac:dyDescent="0.3">
      <c r="D62" s="222" t="s">
        <v>131</v>
      </c>
      <c r="E62" s="227" t="s">
        <v>130</v>
      </c>
      <c r="F62" s="224">
        <v>15</v>
      </c>
      <c r="G62" s="208">
        <v>2322</v>
      </c>
      <c r="H62" s="203">
        <v>2322</v>
      </c>
      <c r="I62" s="202">
        <f t="shared" si="0"/>
        <v>38.96</v>
      </c>
      <c r="J62" s="202">
        <f t="shared" si="1"/>
        <v>0</v>
      </c>
      <c r="K62" s="203">
        <v>0</v>
      </c>
      <c r="L62" s="203">
        <f t="shared" ref="L62:L74" si="2">H62+I62-J62-K62</f>
        <v>2360.96</v>
      </c>
      <c r="M62" s="19"/>
      <c r="P62" s="54"/>
      <c r="Q62" s="56"/>
    </row>
    <row r="63" spans="2:17" ht="39.950000000000003" customHeight="1" x14ac:dyDescent="0.3">
      <c r="D63" s="222" t="s">
        <v>175</v>
      </c>
      <c r="E63" s="227" t="s">
        <v>36</v>
      </c>
      <c r="F63" s="224">
        <v>15</v>
      </c>
      <c r="G63" s="208">
        <v>2785</v>
      </c>
      <c r="H63" s="203">
        <v>2785</v>
      </c>
      <c r="I63" s="202">
        <f t="shared" si="0"/>
        <v>0</v>
      </c>
      <c r="J63" s="202">
        <f t="shared" si="1"/>
        <v>36.299999999999997</v>
      </c>
      <c r="K63" s="203">
        <v>0</v>
      </c>
      <c r="L63" s="203">
        <f t="shared" si="2"/>
        <v>2748.7</v>
      </c>
      <c r="M63" s="19"/>
      <c r="P63" s="54"/>
      <c r="Q63" s="56"/>
    </row>
    <row r="64" spans="2:17" ht="39.950000000000003" customHeight="1" x14ac:dyDescent="0.3">
      <c r="D64" s="222" t="s">
        <v>92</v>
      </c>
      <c r="E64" s="227" t="s">
        <v>30</v>
      </c>
      <c r="F64" s="224">
        <v>15</v>
      </c>
      <c r="G64" s="208">
        <v>3132</v>
      </c>
      <c r="H64" s="203">
        <v>3132</v>
      </c>
      <c r="I64" s="202">
        <f t="shared" si="0"/>
        <v>0</v>
      </c>
      <c r="J64" s="202">
        <f t="shared" si="1"/>
        <v>94.33</v>
      </c>
      <c r="K64" s="203">
        <v>0</v>
      </c>
      <c r="L64" s="203">
        <f t="shared" si="2"/>
        <v>3037.67</v>
      </c>
      <c r="M64" s="19"/>
      <c r="P64" s="54"/>
      <c r="Q64" s="56"/>
    </row>
    <row r="65" spans="2:239" ht="39.950000000000003" customHeight="1" x14ac:dyDescent="0.3">
      <c r="D65" s="222" t="s">
        <v>82</v>
      </c>
      <c r="E65" s="227" t="s">
        <v>55</v>
      </c>
      <c r="F65" s="224">
        <v>15</v>
      </c>
      <c r="G65" s="208">
        <v>2322</v>
      </c>
      <c r="H65" s="203">
        <v>2322</v>
      </c>
      <c r="I65" s="202">
        <f t="shared" si="0"/>
        <v>38.96</v>
      </c>
      <c r="J65" s="202">
        <f t="shared" si="1"/>
        <v>0</v>
      </c>
      <c r="K65" s="203">
        <v>0</v>
      </c>
      <c r="L65" s="203">
        <f t="shared" si="2"/>
        <v>2360.96</v>
      </c>
      <c r="M65" s="19"/>
      <c r="P65" s="54"/>
      <c r="Q65" s="56"/>
    </row>
    <row r="66" spans="2:239" ht="39.950000000000003" customHeight="1" x14ac:dyDescent="0.3">
      <c r="D66" s="222" t="s">
        <v>108</v>
      </c>
      <c r="E66" s="227" t="s">
        <v>30</v>
      </c>
      <c r="F66" s="224">
        <v>15</v>
      </c>
      <c r="G66" s="208">
        <v>2322</v>
      </c>
      <c r="H66" s="203">
        <v>2322</v>
      </c>
      <c r="I66" s="202">
        <f t="shared" si="0"/>
        <v>38.96</v>
      </c>
      <c r="J66" s="202">
        <f t="shared" si="1"/>
        <v>0</v>
      </c>
      <c r="K66" s="203">
        <v>0</v>
      </c>
      <c r="L66" s="203">
        <f t="shared" si="2"/>
        <v>2360.96</v>
      </c>
      <c r="M66" s="19"/>
      <c r="P66" s="54"/>
      <c r="Q66" s="56"/>
    </row>
    <row r="67" spans="2:239" ht="39.950000000000003" customHeight="1" x14ac:dyDescent="0.3">
      <c r="D67" s="222" t="s">
        <v>94</v>
      </c>
      <c r="E67" s="227" t="s">
        <v>30</v>
      </c>
      <c r="F67" s="224">
        <v>15</v>
      </c>
      <c r="G67" s="208">
        <v>3435</v>
      </c>
      <c r="H67" s="203">
        <v>3435</v>
      </c>
      <c r="I67" s="202">
        <f t="shared" si="0"/>
        <v>0</v>
      </c>
      <c r="J67" s="202">
        <f t="shared" si="1"/>
        <v>127.29</v>
      </c>
      <c r="K67" s="203">
        <v>0</v>
      </c>
      <c r="L67" s="203">
        <f t="shared" si="2"/>
        <v>3307.71</v>
      </c>
      <c r="M67" s="19"/>
      <c r="P67" s="54"/>
      <c r="Q67" s="56"/>
    </row>
    <row r="68" spans="2:239" ht="39.950000000000003" customHeight="1" x14ac:dyDescent="0.3">
      <c r="D68" s="222" t="s">
        <v>109</v>
      </c>
      <c r="E68" s="227" t="s">
        <v>30</v>
      </c>
      <c r="F68" s="224">
        <v>15</v>
      </c>
      <c r="G68" s="208">
        <v>2116</v>
      </c>
      <c r="H68" s="203">
        <f>G68</f>
        <v>2116</v>
      </c>
      <c r="I68" s="202">
        <f t="shared" si="0"/>
        <v>66.08</v>
      </c>
      <c r="J68" s="202">
        <f t="shared" si="1"/>
        <v>0</v>
      </c>
      <c r="K68" s="203">
        <v>0</v>
      </c>
      <c r="L68" s="203">
        <f t="shared" si="2"/>
        <v>2182.08</v>
      </c>
      <c r="M68" s="19"/>
      <c r="P68" s="54"/>
      <c r="Q68" s="56"/>
    </row>
    <row r="69" spans="2:239" ht="39.950000000000003" customHeight="1" x14ac:dyDescent="0.3">
      <c r="D69" s="222" t="s">
        <v>105</v>
      </c>
      <c r="E69" s="227" t="s">
        <v>30</v>
      </c>
      <c r="F69" s="224">
        <v>15</v>
      </c>
      <c r="G69" s="208">
        <v>2420</v>
      </c>
      <c r="H69" s="203">
        <v>2420</v>
      </c>
      <c r="I69" s="202">
        <f t="shared" si="0"/>
        <v>18.21</v>
      </c>
      <c r="J69" s="202">
        <f t="shared" si="1"/>
        <v>0</v>
      </c>
      <c r="K69" s="203">
        <v>0</v>
      </c>
      <c r="L69" s="203">
        <f t="shared" si="2"/>
        <v>2438.21</v>
      </c>
      <c r="M69" s="19"/>
      <c r="P69" s="54"/>
      <c r="Q69" s="56"/>
    </row>
    <row r="70" spans="2:239" ht="39.950000000000003" customHeight="1" x14ac:dyDescent="0.3">
      <c r="D70" s="222" t="s">
        <v>142</v>
      </c>
      <c r="E70" s="227" t="s">
        <v>30</v>
      </c>
      <c r="F70" s="224">
        <v>15</v>
      </c>
      <c r="G70" s="208">
        <v>2188</v>
      </c>
      <c r="H70" s="203">
        <v>2188</v>
      </c>
      <c r="I70" s="202">
        <f t="shared" si="0"/>
        <v>61.47</v>
      </c>
      <c r="J70" s="202">
        <f t="shared" si="1"/>
        <v>0</v>
      </c>
      <c r="K70" s="203">
        <v>0</v>
      </c>
      <c r="L70" s="203">
        <f t="shared" si="2"/>
        <v>2249.4699999999998</v>
      </c>
      <c r="M70" s="19"/>
      <c r="P70" s="54"/>
      <c r="Q70" s="56"/>
    </row>
    <row r="71" spans="2:239" ht="39.950000000000003" customHeight="1" x14ac:dyDescent="0.3">
      <c r="D71" s="222" t="s">
        <v>104</v>
      </c>
      <c r="E71" s="227" t="s">
        <v>30</v>
      </c>
      <c r="F71" s="224">
        <v>15</v>
      </c>
      <c r="G71" s="208">
        <v>3132</v>
      </c>
      <c r="H71" s="203">
        <f>G71</f>
        <v>3132</v>
      </c>
      <c r="I71" s="202">
        <f t="shared" si="0"/>
        <v>0</v>
      </c>
      <c r="J71" s="202">
        <f t="shared" si="1"/>
        <v>94.33</v>
      </c>
      <c r="K71" s="203">
        <v>0</v>
      </c>
      <c r="L71" s="203">
        <f t="shared" si="2"/>
        <v>3037.67</v>
      </c>
      <c r="M71" s="19"/>
      <c r="P71" s="54"/>
      <c r="Q71" s="56"/>
    </row>
    <row r="72" spans="2:239" ht="39.950000000000003" customHeight="1" x14ac:dyDescent="0.3">
      <c r="B72" s="14"/>
      <c r="C72" s="42"/>
      <c r="D72" s="222" t="s">
        <v>112</v>
      </c>
      <c r="E72" s="227" t="s">
        <v>36</v>
      </c>
      <c r="F72" s="224">
        <v>15</v>
      </c>
      <c r="G72" s="208">
        <v>2941</v>
      </c>
      <c r="H72" s="203">
        <v>2941</v>
      </c>
      <c r="I72" s="202">
        <f t="shared" si="0"/>
        <v>0</v>
      </c>
      <c r="J72" s="202">
        <f t="shared" si="1"/>
        <v>53.27</v>
      </c>
      <c r="K72" s="203">
        <v>0</v>
      </c>
      <c r="L72" s="203">
        <f t="shared" si="2"/>
        <v>2887.73</v>
      </c>
      <c r="M72" s="19"/>
      <c r="N72" s="59"/>
      <c r="O72" s="57"/>
      <c r="P72" s="58"/>
      <c r="Q72" s="56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43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</row>
    <row r="73" spans="2:239" ht="39.950000000000003" customHeight="1" x14ac:dyDescent="0.3">
      <c r="D73" s="204" t="s">
        <v>223</v>
      </c>
      <c r="E73" s="211" t="s">
        <v>34</v>
      </c>
      <c r="F73" s="201">
        <v>15</v>
      </c>
      <c r="G73" s="208">
        <v>1567</v>
      </c>
      <c r="H73" s="203">
        <f>G73</f>
        <v>1567</v>
      </c>
      <c r="I73" s="202">
        <f t="shared" si="0"/>
        <v>113.13</v>
      </c>
      <c r="J73" s="202">
        <f t="shared" si="1"/>
        <v>0</v>
      </c>
      <c r="K73" s="203">
        <v>0</v>
      </c>
      <c r="L73" s="203">
        <f t="shared" si="2"/>
        <v>1680.13</v>
      </c>
      <c r="M73" s="19"/>
      <c r="O73" s="41"/>
      <c r="P73" s="55"/>
      <c r="Q73" s="56"/>
    </row>
    <row r="74" spans="2:239" ht="39.75" customHeight="1" x14ac:dyDescent="0.3">
      <c r="D74" s="222" t="s">
        <v>286</v>
      </c>
      <c r="E74" s="227" t="s">
        <v>34</v>
      </c>
      <c r="F74" s="224">
        <v>15</v>
      </c>
      <c r="G74" s="208">
        <v>1567</v>
      </c>
      <c r="H74" s="203">
        <f>G74</f>
        <v>1567</v>
      </c>
      <c r="I74" s="202">
        <f t="shared" si="0"/>
        <v>113.13</v>
      </c>
      <c r="J74" s="202">
        <f t="shared" si="1"/>
        <v>0</v>
      </c>
      <c r="K74" s="203">
        <v>0</v>
      </c>
      <c r="L74" s="203">
        <f t="shared" si="2"/>
        <v>1680.13</v>
      </c>
      <c r="M74" s="19"/>
      <c r="P74" s="54"/>
      <c r="Q74" s="56"/>
    </row>
    <row r="75" spans="2:239" ht="1.5" customHeight="1" x14ac:dyDescent="0.3">
      <c r="D75" s="222"/>
      <c r="E75" s="227"/>
      <c r="F75" s="224"/>
      <c r="G75" s="208"/>
      <c r="H75" s="203"/>
      <c r="I75" s="202"/>
      <c r="J75" s="202"/>
      <c r="K75" s="203"/>
      <c r="L75" s="203"/>
      <c r="M75" s="19"/>
      <c r="P75" s="54"/>
      <c r="Q75" s="56"/>
    </row>
    <row r="76" spans="2:239" ht="36.75" hidden="1" customHeight="1" x14ac:dyDescent="0.3">
      <c r="D76" s="222"/>
      <c r="E76" s="227"/>
      <c r="F76" s="224"/>
      <c r="G76" s="228"/>
      <c r="H76" s="203"/>
      <c r="I76" s="202"/>
      <c r="J76" s="202"/>
      <c r="K76" s="203">
        <v>0</v>
      </c>
      <c r="L76" s="203"/>
      <c r="M76" s="19"/>
      <c r="P76" s="54"/>
      <c r="Q76" s="56"/>
    </row>
    <row r="77" spans="2:239" ht="36.950000000000003" customHeight="1" x14ac:dyDescent="0.3">
      <c r="D77" s="229" t="s">
        <v>47</v>
      </c>
      <c r="E77" s="210"/>
      <c r="F77" s="230"/>
      <c r="G77" s="231"/>
      <c r="H77" s="214"/>
      <c r="I77" s="355"/>
      <c r="J77" s="356"/>
      <c r="K77" s="232"/>
      <c r="L77" s="214"/>
      <c r="M77" s="133"/>
      <c r="P77" s="54"/>
      <c r="Q77" s="56"/>
    </row>
    <row r="78" spans="2:239" ht="36.950000000000003" customHeight="1" x14ac:dyDescent="0.3">
      <c r="D78" s="225" t="s">
        <v>221</v>
      </c>
      <c r="E78" s="233" t="s">
        <v>48</v>
      </c>
      <c r="F78" s="224">
        <v>15</v>
      </c>
      <c r="G78" s="208">
        <v>3226</v>
      </c>
      <c r="H78" s="203">
        <f>G78</f>
        <v>3226</v>
      </c>
      <c r="I78" s="202">
        <f>IFERROR(IF(ROUND((((H78/F78*30.4)-VLOOKUP((H78/F78*30.4),TARIFA,1))*VLOOKUP((H78/F78*30.4),TARIFA,3)+VLOOKUP((H78/F78*30.4),TARIFA,2)-VLOOKUP((H78/F78*30.4),SUBSIDIO,2))/30.4*F78,2)&lt;0,ROUND(-(((H78/F78*30.4)-VLOOKUP((H78/F78*30.4),TARIFA,1))*VLOOKUP((H78/F78*30.4),TARIFA,3)+VLOOKUP((H78/F78*30.4),TARIFA,2)-VLOOKUP((H78/F78*30.4),SUBSIDIO,2))/30.4*F78,2),0),0)</f>
        <v>0</v>
      </c>
      <c r="J78" s="202">
        <f>IFERROR(IF(ROUND((((H78/F78*30.4)-VLOOKUP((H78/F78*30.4),TARIFA,1))*VLOOKUP((H78/F78*30.4),TARIFA,3)+VLOOKUP((H78/F78*30.4),TARIFA,2)-VLOOKUP((H78/F78*30.4),SUBSIDIO,2))/30.4*F78,2)&gt;0,ROUND((((H78/F78*30.4)-VLOOKUP((H78/F78*30.4),TARIFA,1))*VLOOKUP((H78/F78*30.4),TARIFA,3)+VLOOKUP((H78/F78*30.4),TARIFA,2)-VLOOKUP((H78/F78*30.4),SUBSIDIO,2))/30.4*F78,2),0),0)</f>
        <v>104.56</v>
      </c>
      <c r="K78" s="203">
        <v>0</v>
      </c>
      <c r="L78" s="203">
        <f>H78+I78-J78-K78</f>
        <v>3121.44</v>
      </c>
      <c r="M78" s="79"/>
      <c r="P78" s="54"/>
      <c r="Q78" s="56"/>
    </row>
    <row r="79" spans="2:239" ht="38.1" customHeight="1" x14ac:dyDescent="0.2">
      <c r="D79" s="190"/>
      <c r="E79" s="191"/>
      <c r="F79" s="192"/>
      <c r="G79" s="193">
        <f>G78+G74+G73+G72+G71+G70+G69+G68+G67+G66+G65+G64+G63+G62+G61+G60+G59+G58+G57+G56+G55+G54+G53</f>
        <v>58668</v>
      </c>
      <c r="H79" s="193">
        <f>H78+H76+H74+H73+H72+H71+H70+H69+H68+H67+H66+H65+H64+H63+H62+H61+H60+H59+H58+H57+H56+H55+H54+H53</f>
        <v>58668</v>
      </c>
      <c r="I79" s="357">
        <f>I76+I74+I73+I70+I69+I68+I66+I65+I62+I59+I56+I55+I54+I53</f>
        <v>646.19999999999993</v>
      </c>
      <c r="J79" s="357">
        <f>J78+J72+J71+J67+J64+J63+J61+J60+J58+J57</f>
        <v>1213.03</v>
      </c>
      <c r="K79" s="193"/>
      <c r="L79" s="193">
        <f>L78+L76+L74+L73+L72+L71+L70+L69+L68+L67+L66+L65+L64+L63+L62+L61+L60+L59+L58+L57+L56+L55+L54+L53</f>
        <v>58101.169999999984</v>
      </c>
      <c r="M79" s="83"/>
      <c r="P79" s="54"/>
      <c r="Q79" s="56"/>
    </row>
    <row r="80" spans="2:239" ht="38.1" customHeight="1" x14ac:dyDescent="0.3"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P80" s="54"/>
      <c r="Q80" s="56"/>
    </row>
    <row r="81" spans="4:17" ht="38.1" customHeight="1" x14ac:dyDescent="0.3"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P81" s="54"/>
      <c r="Q81" s="56"/>
    </row>
    <row r="82" spans="4:17" ht="38.1" customHeight="1" x14ac:dyDescent="0.3">
      <c r="D82" s="418"/>
      <c r="E82" s="418"/>
      <c r="F82" s="418"/>
      <c r="G82" s="418"/>
      <c r="H82" s="418"/>
      <c r="I82" s="418"/>
      <c r="J82" s="418"/>
      <c r="K82" s="418"/>
      <c r="L82" s="418"/>
      <c r="M82" s="418"/>
      <c r="P82" s="54"/>
      <c r="Q82" s="56"/>
    </row>
    <row r="83" spans="4:17" ht="38.1" customHeight="1" x14ac:dyDescent="0.3">
      <c r="D83" s="418"/>
      <c r="E83" s="418"/>
      <c r="F83" s="418"/>
      <c r="G83" s="418"/>
      <c r="H83" s="418"/>
      <c r="I83" s="418"/>
      <c r="J83" s="418"/>
      <c r="K83" s="418"/>
      <c r="L83" s="418"/>
      <c r="M83" s="418"/>
      <c r="P83" s="54"/>
      <c r="Q83" s="56"/>
    </row>
    <row r="84" spans="4:17" ht="38.1" customHeight="1" x14ac:dyDescent="0.2">
      <c r="D84" s="108"/>
      <c r="E84" s="108"/>
      <c r="F84" s="109" t="s">
        <v>3</v>
      </c>
      <c r="G84" s="422" t="s">
        <v>0</v>
      </c>
      <c r="H84" s="423"/>
      <c r="I84" s="424"/>
      <c r="J84" s="348"/>
      <c r="K84" s="110"/>
      <c r="L84" s="109"/>
      <c r="M84" s="111"/>
      <c r="P84" s="54"/>
      <c r="Q84" s="56"/>
    </row>
    <row r="85" spans="4:17" ht="38.1" customHeight="1" x14ac:dyDescent="0.2">
      <c r="D85" s="111"/>
      <c r="E85" s="109"/>
      <c r="F85" s="112" t="s">
        <v>4</v>
      </c>
      <c r="G85" s="113" t="s">
        <v>1</v>
      </c>
      <c r="H85" s="113" t="s">
        <v>152</v>
      </c>
      <c r="I85" s="349" t="s">
        <v>155</v>
      </c>
      <c r="J85" s="349"/>
      <c r="K85" s="109" t="s">
        <v>169</v>
      </c>
      <c r="L85" s="109" t="s">
        <v>154</v>
      </c>
      <c r="M85" s="114"/>
      <c r="P85" s="54"/>
      <c r="Q85" s="56"/>
    </row>
    <row r="86" spans="4:17" ht="38.1" customHeight="1" x14ac:dyDescent="0.25">
      <c r="D86" s="115"/>
      <c r="E86" s="116" t="s">
        <v>8</v>
      </c>
      <c r="F86" s="109"/>
      <c r="G86" s="109" t="s">
        <v>6</v>
      </c>
      <c r="H86" s="109" t="s">
        <v>154</v>
      </c>
      <c r="I86" s="112" t="s">
        <v>156</v>
      </c>
      <c r="J86" s="112" t="s">
        <v>157</v>
      </c>
      <c r="K86" s="109" t="s">
        <v>171</v>
      </c>
      <c r="L86" s="109" t="s">
        <v>160</v>
      </c>
      <c r="M86" s="113" t="s">
        <v>163</v>
      </c>
      <c r="P86" s="54"/>
      <c r="Q86" s="56"/>
    </row>
    <row r="87" spans="4:17" ht="38.1" customHeight="1" x14ac:dyDescent="0.25">
      <c r="D87" s="115" t="s">
        <v>74</v>
      </c>
      <c r="E87" s="115" t="s">
        <v>7</v>
      </c>
      <c r="F87" s="113"/>
      <c r="G87" s="113"/>
      <c r="H87" s="113"/>
      <c r="I87" s="349"/>
      <c r="J87" s="350"/>
      <c r="K87" s="117"/>
      <c r="L87" s="113"/>
      <c r="M87" s="113"/>
      <c r="P87" s="54"/>
      <c r="Q87" s="56"/>
    </row>
    <row r="88" spans="4:17" ht="39.950000000000003" customHeight="1" x14ac:dyDescent="0.3">
      <c r="D88" s="217" t="s">
        <v>251</v>
      </c>
      <c r="E88" s="218"/>
      <c r="F88" s="219"/>
      <c r="G88" s="220"/>
      <c r="H88" s="221"/>
      <c r="I88" s="354"/>
      <c r="J88" s="354"/>
      <c r="K88" s="221"/>
      <c r="L88" s="214"/>
      <c r="M88" s="63"/>
      <c r="P88" s="54"/>
      <c r="Q88" s="56"/>
    </row>
    <row r="89" spans="4:17" ht="39.950000000000003" customHeight="1" x14ac:dyDescent="0.3">
      <c r="D89" s="222" t="s">
        <v>252</v>
      </c>
      <c r="E89" s="223" t="s">
        <v>253</v>
      </c>
      <c r="F89" s="224">
        <v>15</v>
      </c>
      <c r="G89" s="203">
        <v>2220</v>
      </c>
      <c r="H89" s="203">
        <v>2220</v>
      </c>
      <c r="I89" s="202">
        <f>IFERROR(IF(ROUND((((H89/F89*30.4)-VLOOKUP((H89/F89*30.4),TARIFA,1))*VLOOKUP((H89/F89*30.4),TARIFA,3)+VLOOKUP((H89/F89*30.4),TARIFA,2)-VLOOKUP((H89/F89*30.4),SUBSIDIO,2))/30.4*F89,2)&lt;0,ROUND(-(((H89/F89*30.4)-VLOOKUP((H89/F89*30.4),TARIFA,1))*VLOOKUP((H89/F89*30.4),TARIFA,3)+VLOOKUP((H89/F89*30.4),TARIFA,2)-VLOOKUP((H89/F89*30.4),SUBSIDIO,2))/30.4*F89,2),0),0)</f>
        <v>45.49</v>
      </c>
      <c r="J89" s="202">
        <f>IFERROR(IF(ROUND((((H89/F89*30.4)-VLOOKUP((H89/F89*30.4),TARIFA,1))*VLOOKUP((H89/F89*30.4),TARIFA,3)+VLOOKUP((H89/F89*30.4),TARIFA,2)-VLOOKUP((H89/F89*30.4),SUBSIDIO,2))/30.4*F89,2)&gt;0,ROUND((((H89/F89*30.4)-VLOOKUP((H89/F89*30.4),TARIFA,1))*VLOOKUP((H89/F89*30.4),TARIFA,3)+VLOOKUP((H89/F89*30.4),TARIFA,2)-VLOOKUP((H89/F89*30.4),SUBSIDIO,2))/30.4*F89,2),0),0)</f>
        <v>0</v>
      </c>
      <c r="K89" s="203"/>
      <c r="L89" s="203">
        <f>H89+I89</f>
        <v>2265.4899999999998</v>
      </c>
      <c r="M89" s="19"/>
      <c r="P89" s="54"/>
      <c r="Q89" s="56"/>
    </row>
    <row r="90" spans="4:17" ht="39.950000000000003" customHeight="1" x14ac:dyDescent="0.3">
      <c r="D90" s="234" t="s">
        <v>254</v>
      </c>
      <c r="E90" s="235"/>
      <c r="F90" s="224"/>
      <c r="G90" s="208"/>
      <c r="H90" s="203"/>
      <c r="I90" s="202"/>
      <c r="J90" s="202"/>
      <c r="K90" s="203"/>
      <c r="L90" s="203"/>
      <c r="M90" s="19"/>
      <c r="P90" s="54"/>
      <c r="Q90" s="56"/>
    </row>
    <row r="91" spans="4:17" ht="39.950000000000003" customHeight="1" x14ac:dyDescent="0.3">
      <c r="D91" s="225" t="s">
        <v>331</v>
      </c>
      <c r="E91" s="235" t="s">
        <v>255</v>
      </c>
      <c r="F91" s="224">
        <v>15</v>
      </c>
      <c r="G91" s="203">
        <v>2868</v>
      </c>
      <c r="H91" s="203">
        <v>2868</v>
      </c>
      <c r="I91" s="202">
        <f>IFERROR(IF(ROUND((((H91/F91*30.4)-VLOOKUP((H91/F91*30.4),TARIFA,1))*VLOOKUP((H91/F91*30.4),TARIFA,3)+VLOOKUP((H91/F91*30.4),TARIFA,2)-VLOOKUP((H91/F91*30.4),SUBSIDIO,2))/30.4*F91,2)&lt;0,ROUND(-(((H91/F91*30.4)-VLOOKUP((H91/F91*30.4),TARIFA,1))*VLOOKUP((H91/F91*30.4),TARIFA,3)+VLOOKUP((H91/F91*30.4),TARIFA,2)-VLOOKUP((H91/F91*30.4),SUBSIDIO,2))/30.4*F91,2),0),0)</f>
        <v>0</v>
      </c>
      <c r="J91" s="202">
        <f>IFERROR(IF(ROUND((((H91/F91*30.4)-VLOOKUP((H91/F91*30.4),TARIFA,1))*VLOOKUP((H91/F91*30.4),TARIFA,3)+VLOOKUP((H91/F91*30.4),TARIFA,2)-VLOOKUP((H91/F91*30.4),SUBSIDIO,2))/30.4*F91,2)&gt;0,ROUND((((H91/F91*30.4)-VLOOKUP((H91/F91*30.4),TARIFA,1))*VLOOKUP((H91/F91*30.4),TARIFA,3)+VLOOKUP((H91/F91*30.4),TARIFA,2)-VLOOKUP((H91/F91*30.4),SUBSIDIO,2))/30.4*F91,2),0),0)</f>
        <v>45.33</v>
      </c>
      <c r="K91" s="203"/>
      <c r="L91" s="203">
        <f>H91-J91</f>
        <v>2822.67</v>
      </c>
      <c r="M91" s="19"/>
      <c r="P91" s="54"/>
      <c r="Q91" s="56"/>
    </row>
    <row r="92" spans="4:17" ht="36.75" customHeight="1" x14ac:dyDescent="0.3">
      <c r="D92" s="236" t="s">
        <v>257</v>
      </c>
      <c r="E92" s="223"/>
      <c r="F92" s="224"/>
      <c r="G92" s="208"/>
      <c r="H92" s="203"/>
      <c r="I92" s="202"/>
      <c r="J92" s="202"/>
      <c r="K92" s="203"/>
      <c r="L92" s="203"/>
      <c r="M92" s="19"/>
      <c r="P92" s="54"/>
      <c r="Q92" s="56"/>
    </row>
    <row r="93" spans="4:17" ht="3" hidden="1" customHeight="1" x14ac:dyDescent="0.3">
      <c r="D93" s="222"/>
      <c r="E93" s="227"/>
      <c r="F93" s="224">
        <v>0</v>
      </c>
      <c r="G93" s="203">
        <v>0</v>
      </c>
      <c r="H93" s="203">
        <v>0</v>
      </c>
      <c r="I93" s="202">
        <v>0</v>
      </c>
      <c r="J93" s="202"/>
      <c r="K93" s="203"/>
      <c r="L93" s="203">
        <v>0</v>
      </c>
      <c r="M93" s="19"/>
      <c r="P93" s="54"/>
      <c r="Q93" s="56"/>
    </row>
    <row r="94" spans="4:17" ht="39.950000000000003" customHeight="1" x14ac:dyDescent="0.3">
      <c r="D94" s="222" t="s">
        <v>277</v>
      </c>
      <c r="E94" s="227" t="s">
        <v>258</v>
      </c>
      <c r="F94" s="224">
        <v>15</v>
      </c>
      <c r="G94" s="203">
        <v>2220</v>
      </c>
      <c r="H94" s="203">
        <v>2220</v>
      </c>
      <c r="I94" s="202">
        <f>IFERROR(IF(ROUND((((H94/F94*30.4)-VLOOKUP((H94/F94*30.4),TARIFA,1))*VLOOKUP((H94/F94*30.4),TARIFA,3)+VLOOKUP((H94/F94*30.4),TARIFA,2)-VLOOKUP((H94/F94*30.4),SUBSIDIO,2))/30.4*F94,2)&lt;0,ROUND(-(((H94/F94*30.4)-VLOOKUP((H94/F94*30.4),TARIFA,1))*VLOOKUP((H94/F94*30.4),TARIFA,3)+VLOOKUP((H94/F94*30.4),TARIFA,2)-VLOOKUP((H94/F94*30.4),SUBSIDIO,2))/30.4*F94,2),0),0)</f>
        <v>45.49</v>
      </c>
      <c r="J94" s="202">
        <f>IFERROR(IF(ROUND((((H94/F94*30.4)-VLOOKUP((H94/F94*30.4),TARIFA,1))*VLOOKUP((H94/F94*30.4),TARIFA,3)+VLOOKUP((H94/F94*30.4),TARIFA,2)-VLOOKUP((H94/F94*30.4),SUBSIDIO,2))/30.4*F94,2)&gt;0,ROUND((((H94/F94*30.4)-VLOOKUP((H94/F94*30.4),TARIFA,1))*VLOOKUP((H94/F94*30.4),TARIFA,3)+VLOOKUP((H94/F94*30.4),TARIFA,2)-VLOOKUP((H94/F94*30.4),SUBSIDIO,2))/30.4*F94,2),0),0)</f>
        <v>0</v>
      </c>
      <c r="K94" s="203"/>
      <c r="L94" s="203">
        <f>H94+I94</f>
        <v>2265.4899999999998</v>
      </c>
      <c r="M94" s="19"/>
      <c r="P94" s="54"/>
      <c r="Q94" s="56"/>
    </row>
    <row r="95" spans="4:17" ht="39.950000000000003" customHeight="1" x14ac:dyDescent="0.3">
      <c r="D95" s="236" t="s">
        <v>259</v>
      </c>
      <c r="E95" s="227"/>
      <c r="F95" s="224"/>
      <c r="G95" s="208"/>
      <c r="H95" s="203"/>
      <c r="I95" s="202"/>
      <c r="J95" s="202"/>
      <c r="K95" s="203"/>
      <c r="L95" s="203"/>
      <c r="M95" s="19"/>
      <c r="P95" s="54"/>
      <c r="Q95" s="56"/>
    </row>
    <row r="96" spans="4:17" ht="39.950000000000003" customHeight="1" x14ac:dyDescent="0.3">
      <c r="D96" s="222" t="s">
        <v>287</v>
      </c>
      <c r="E96" s="227" t="s">
        <v>30</v>
      </c>
      <c r="F96" s="224">
        <v>15</v>
      </c>
      <c r="G96" s="203">
        <v>2220</v>
      </c>
      <c r="H96" s="203">
        <v>2220</v>
      </c>
      <c r="I96" s="202">
        <f t="shared" ref="I96:I109" si="3">IFERROR(IF(ROUND((((H96/F96*30.4)-VLOOKUP((H96/F96*30.4),TARIFA,1))*VLOOKUP((H96/F96*30.4),TARIFA,3)+VLOOKUP((H96/F96*30.4),TARIFA,2)-VLOOKUP((H96/F96*30.4),SUBSIDIO,2))/30.4*F96,2)&lt;0,ROUND(-(((H96/F96*30.4)-VLOOKUP((H96/F96*30.4),TARIFA,1))*VLOOKUP((H96/F96*30.4),TARIFA,3)+VLOOKUP((H96/F96*30.4),TARIFA,2)-VLOOKUP((H96/F96*30.4),SUBSIDIO,2))/30.4*F96,2),0),0)</f>
        <v>45.49</v>
      </c>
      <c r="J96" s="202">
        <f t="shared" ref="J96:J109" si="4">IFERROR(IF(ROUND((((H96/F96*30.4)-VLOOKUP((H96/F96*30.4),TARIFA,1))*VLOOKUP((H96/F96*30.4),TARIFA,3)+VLOOKUP((H96/F96*30.4),TARIFA,2)-VLOOKUP((H96/F96*30.4),SUBSIDIO,2))/30.4*F96,2)&gt;0,ROUND((((H96/F96*30.4)-VLOOKUP((H96/F96*30.4),TARIFA,1))*VLOOKUP((H96/F96*30.4),TARIFA,3)+VLOOKUP((H96/F96*30.4),TARIFA,2)-VLOOKUP((H96/F96*30.4),SUBSIDIO,2))/30.4*F96,2),0),0)</f>
        <v>0</v>
      </c>
      <c r="K96" s="203"/>
      <c r="L96" s="203">
        <f>H96+I96</f>
        <v>2265.4899999999998</v>
      </c>
      <c r="M96" s="19"/>
      <c r="P96" s="54"/>
      <c r="Q96" s="56"/>
    </row>
    <row r="97" spans="4:17" ht="39.950000000000003" customHeight="1" x14ac:dyDescent="0.3">
      <c r="D97" s="222" t="s">
        <v>288</v>
      </c>
      <c r="E97" s="227" t="s">
        <v>30</v>
      </c>
      <c r="F97" s="224">
        <v>15</v>
      </c>
      <c r="G97" s="203">
        <v>2220</v>
      </c>
      <c r="H97" s="203">
        <v>2220</v>
      </c>
      <c r="I97" s="202">
        <f t="shared" si="3"/>
        <v>45.49</v>
      </c>
      <c r="J97" s="202">
        <f t="shared" si="4"/>
        <v>0</v>
      </c>
      <c r="K97" s="203"/>
      <c r="L97" s="203">
        <f>H97+I97</f>
        <v>2265.4899999999998</v>
      </c>
      <c r="M97" s="19"/>
      <c r="P97" s="54"/>
      <c r="Q97" s="56"/>
    </row>
    <row r="98" spans="4:17" ht="39.950000000000003" customHeight="1" x14ac:dyDescent="0.3">
      <c r="D98" s="222" t="s">
        <v>289</v>
      </c>
      <c r="E98" s="227" t="s">
        <v>290</v>
      </c>
      <c r="F98" s="224">
        <v>15</v>
      </c>
      <c r="G98" s="228">
        <v>2439</v>
      </c>
      <c r="H98" s="203">
        <f>G98</f>
        <v>2439</v>
      </c>
      <c r="I98" s="202">
        <f t="shared" si="3"/>
        <v>16.27</v>
      </c>
      <c r="J98" s="202">
        <f t="shared" si="4"/>
        <v>0</v>
      </c>
      <c r="K98" s="203">
        <v>0</v>
      </c>
      <c r="L98" s="203">
        <f>H98+I98-J98-K98</f>
        <v>2455.27</v>
      </c>
      <c r="M98" s="19"/>
      <c r="P98" s="54"/>
      <c r="Q98" s="56"/>
    </row>
    <row r="99" spans="4:17" ht="39.950000000000003" customHeight="1" x14ac:dyDescent="0.3">
      <c r="D99" s="222" t="s">
        <v>260</v>
      </c>
      <c r="E99" s="227" t="s">
        <v>30</v>
      </c>
      <c r="F99" s="224">
        <v>15</v>
      </c>
      <c r="G99" s="208">
        <v>2322</v>
      </c>
      <c r="H99" s="203">
        <v>2322</v>
      </c>
      <c r="I99" s="202">
        <f t="shared" si="3"/>
        <v>38.96</v>
      </c>
      <c r="J99" s="202">
        <f t="shared" si="4"/>
        <v>0</v>
      </c>
      <c r="K99" s="203">
        <v>0</v>
      </c>
      <c r="L99" s="203">
        <f t="shared" ref="L99:L107" si="5">H99+I99-J99-K99</f>
        <v>2360.96</v>
      </c>
      <c r="M99" s="19"/>
      <c r="P99" s="54"/>
      <c r="Q99" s="56"/>
    </row>
    <row r="100" spans="4:17" ht="39.950000000000003" customHeight="1" x14ac:dyDescent="0.3">
      <c r="D100" s="222" t="s">
        <v>261</v>
      </c>
      <c r="E100" s="227" t="s">
        <v>30</v>
      </c>
      <c r="F100" s="224">
        <v>15</v>
      </c>
      <c r="G100" s="208">
        <v>2322</v>
      </c>
      <c r="H100" s="203">
        <v>2322</v>
      </c>
      <c r="I100" s="202">
        <f t="shared" si="3"/>
        <v>38.96</v>
      </c>
      <c r="J100" s="202">
        <f t="shared" si="4"/>
        <v>0</v>
      </c>
      <c r="K100" s="203">
        <v>0</v>
      </c>
      <c r="L100" s="203">
        <f t="shared" si="5"/>
        <v>2360.96</v>
      </c>
      <c r="M100" s="19"/>
      <c r="P100" s="54"/>
      <c r="Q100" s="56"/>
    </row>
    <row r="101" spans="4:17" ht="39.75" customHeight="1" x14ac:dyDescent="0.3">
      <c r="D101" s="222" t="s">
        <v>273</v>
      </c>
      <c r="E101" s="227" t="s">
        <v>41</v>
      </c>
      <c r="F101" s="224">
        <v>15</v>
      </c>
      <c r="G101" s="208">
        <v>2397</v>
      </c>
      <c r="H101" s="203">
        <v>2397</v>
      </c>
      <c r="I101" s="202">
        <f t="shared" si="3"/>
        <v>19.68</v>
      </c>
      <c r="J101" s="202">
        <f t="shared" si="4"/>
        <v>0</v>
      </c>
      <c r="K101" s="203"/>
      <c r="L101" s="203">
        <f t="shared" si="5"/>
        <v>2416.6799999999998</v>
      </c>
      <c r="M101" s="19"/>
      <c r="P101" s="54"/>
      <c r="Q101" s="56"/>
    </row>
    <row r="102" spans="4:17" ht="37.5" hidden="1" customHeight="1" x14ac:dyDescent="0.3">
      <c r="D102" s="222"/>
      <c r="E102" s="227"/>
      <c r="F102" s="224"/>
      <c r="G102" s="208"/>
      <c r="H102" s="203"/>
      <c r="I102" s="202">
        <f t="shared" si="3"/>
        <v>0</v>
      </c>
      <c r="J102" s="202">
        <f t="shared" si="4"/>
        <v>0</v>
      </c>
      <c r="K102" s="203"/>
      <c r="L102" s="214"/>
      <c r="M102" s="19"/>
      <c r="P102" s="54"/>
      <c r="Q102" s="56"/>
    </row>
    <row r="103" spans="4:17" ht="1.5" hidden="1" customHeight="1" x14ac:dyDescent="0.3">
      <c r="D103" s="169"/>
      <c r="E103" s="227"/>
      <c r="F103" s="224"/>
      <c r="G103" s="208"/>
      <c r="H103" s="203"/>
      <c r="I103" s="202"/>
      <c r="J103" s="202"/>
      <c r="K103" s="203"/>
      <c r="L103" s="203"/>
      <c r="M103" s="19"/>
      <c r="P103" s="54"/>
      <c r="Q103" s="56"/>
    </row>
    <row r="104" spans="4:17" ht="39.950000000000003" customHeight="1" x14ac:dyDescent="0.3">
      <c r="D104" s="169" t="s">
        <v>281</v>
      </c>
      <c r="E104" s="227" t="s">
        <v>278</v>
      </c>
      <c r="F104" s="224">
        <v>15</v>
      </c>
      <c r="G104" s="208">
        <v>2785</v>
      </c>
      <c r="H104" s="203">
        <v>0</v>
      </c>
      <c r="I104" s="202">
        <f t="shared" si="3"/>
        <v>0</v>
      </c>
      <c r="J104" s="202">
        <f t="shared" si="4"/>
        <v>0</v>
      </c>
      <c r="K104" s="203"/>
      <c r="L104" s="214">
        <f t="shared" si="5"/>
        <v>0</v>
      </c>
      <c r="M104" s="19"/>
      <c r="P104" s="54"/>
      <c r="Q104" s="56"/>
    </row>
    <row r="105" spans="4:17" ht="39.950000000000003" customHeight="1" x14ac:dyDescent="0.3">
      <c r="D105" s="169" t="s">
        <v>282</v>
      </c>
      <c r="E105" s="227" t="s">
        <v>36</v>
      </c>
      <c r="F105" s="224">
        <v>15</v>
      </c>
      <c r="G105" s="208">
        <v>2785</v>
      </c>
      <c r="H105" s="203">
        <v>2785</v>
      </c>
      <c r="I105" s="202">
        <f t="shared" si="3"/>
        <v>0</v>
      </c>
      <c r="J105" s="202">
        <f t="shared" si="4"/>
        <v>36.299999999999997</v>
      </c>
      <c r="K105" s="203"/>
      <c r="L105" s="203">
        <f t="shared" si="5"/>
        <v>2748.7</v>
      </c>
      <c r="M105" s="19"/>
      <c r="P105" s="54"/>
      <c r="Q105" s="56"/>
    </row>
    <row r="106" spans="4:17" ht="39.950000000000003" customHeight="1" x14ac:dyDescent="0.3">
      <c r="D106" s="169" t="s">
        <v>283</v>
      </c>
      <c r="E106" s="227" t="s">
        <v>329</v>
      </c>
      <c r="F106" s="224">
        <v>15</v>
      </c>
      <c r="G106" s="208">
        <v>3943</v>
      </c>
      <c r="H106" s="203">
        <v>3943</v>
      </c>
      <c r="I106" s="202">
        <f t="shared" si="3"/>
        <v>0</v>
      </c>
      <c r="J106" s="202">
        <f t="shared" si="4"/>
        <v>307.67</v>
      </c>
      <c r="K106" s="203"/>
      <c r="L106" s="203">
        <f t="shared" si="5"/>
        <v>3635.33</v>
      </c>
      <c r="M106" s="19"/>
      <c r="P106" s="54"/>
      <c r="Q106" s="56"/>
    </row>
    <row r="107" spans="4:17" ht="39.950000000000003" customHeight="1" x14ac:dyDescent="0.3">
      <c r="D107" s="169" t="s">
        <v>327</v>
      </c>
      <c r="E107" s="227" t="s">
        <v>328</v>
      </c>
      <c r="F107" s="224">
        <v>15</v>
      </c>
      <c r="G107" s="208">
        <v>4955</v>
      </c>
      <c r="H107" s="203">
        <v>4955</v>
      </c>
      <c r="I107" s="202"/>
      <c r="J107" s="202">
        <f t="shared" si="4"/>
        <v>453.57</v>
      </c>
      <c r="K107" s="203"/>
      <c r="L107" s="203">
        <f t="shared" si="5"/>
        <v>4501.43</v>
      </c>
      <c r="M107" s="19"/>
      <c r="P107" s="54"/>
      <c r="Q107" s="56"/>
    </row>
    <row r="108" spans="4:17" ht="39.950000000000003" customHeight="1" x14ac:dyDescent="0.3">
      <c r="D108" s="169" t="s">
        <v>284</v>
      </c>
      <c r="E108" s="227" t="s">
        <v>36</v>
      </c>
      <c r="F108" s="224">
        <v>15</v>
      </c>
      <c r="G108" s="208">
        <v>2785</v>
      </c>
      <c r="H108" s="203">
        <v>2785</v>
      </c>
      <c r="I108" s="202">
        <f t="shared" si="3"/>
        <v>0</v>
      </c>
      <c r="J108" s="202">
        <f t="shared" si="4"/>
        <v>36.299999999999997</v>
      </c>
      <c r="K108" s="203"/>
      <c r="L108" s="203">
        <f>H108+I108-J108-K108</f>
        <v>2748.7</v>
      </c>
      <c r="M108" s="19"/>
      <c r="P108" s="54"/>
      <c r="Q108" s="56"/>
    </row>
    <row r="109" spans="4:17" ht="35.25" customHeight="1" x14ac:dyDescent="0.3">
      <c r="D109" s="169" t="s">
        <v>285</v>
      </c>
      <c r="E109" s="227" t="s">
        <v>36</v>
      </c>
      <c r="F109" s="224">
        <v>15</v>
      </c>
      <c r="G109" s="208">
        <v>2785</v>
      </c>
      <c r="H109" s="203">
        <v>2785</v>
      </c>
      <c r="I109" s="202">
        <f t="shared" si="3"/>
        <v>0</v>
      </c>
      <c r="J109" s="202">
        <f t="shared" si="4"/>
        <v>36.299999999999997</v>
      </c>
      <c r="K109" s="203"/>
      <c r="L109" s="203">
        <f>H109+I109-J109-K109</f>
        <v>2748.7</v>
      </c>
      <c r="M109" s="19"/>
      <c r="P109" s="54"/>
      <c r="Q109" s="56"/>
    </row>
    <row r="110" spans="4:17" ht="0.75" customHeight="1" x14ac:dyDescent="0.3">
      <c r="D110" s="169"/>
      <c r="E110" s="222"/>
      <c r="F110" s="375"/>
      <c r="G110" s="203"/>
      <c r="H110" s="203"/>
      <c r="I110" s="202"/>
      <c r="J110" s="202"/>
      <c r="K110" s="203"/>
      <c r="L110" s="203"/>
      <c r="M110" s="19"/>
      <c r="P110" s="54"/>
      <c r="Q110" s="56"/>
    </row>
    <row r="111" spans="4:17" ht="39.950000000000003" customHeight="1" x14ac:dyDescent="0.3">
      <c r="D111" s="236" t="s">
        <v>229</v>
      </c>
      <c r="E111" s="227"/>
      <c r="F111" s="224"/>
      <c r="G111" s="208"/>
      <c r="H111" s="203"/>
      <c r="I111" s="202"/>
      <c r="J111" s="202"/>
      <c r="K111" s="203"/>
      <c r="L111" s="203"/>
      <c r="M111" s="19"/>
      <c r="P111" s="54"/>
      <c r="Q111" s="56"/>
    </row>
    <row r="112" spans="4:17" ht="39.950000000000003" customHeight="1" x14ac:dyDescent="0.3">
      <c r="D112" s="222" t="s">
        <v>264</v>
      </c>
      <c r="E112" s="223" t="s">
        <v>265</v>
      </c>
      <c r="F112" s="224">
        <v>15</v>
      </c>
      <c r="G112" s="203">
        <v>2220</v>
      </c>
      <c r="H112" s="203">
        <v>2220</v>
      </c>
      <c r="I112" s="202">
        <f>IFERROR(IF(ROUND((((H112/F112*30.4)-VLOOKUP((H112/F112*30.4),TARIFA,1))*VLOOKUP((H112/F112*30.4),TARIFA,3)+VLOOKUP((H112/F112*30.4),TARIFA,2)-VLOOKUP((H112/F112*30.4),SUBSIDIO,2))/30.4*F112,2)&lt;0,ROUND(-(((H112/F112*30.4)-VLOOKUP((H112/F112*30.4),TARIFA,1))*VLOOKUP((H112/F112*30.4),TARIFA,3)+VLOOKUP((H112/F112*30.4),TARIFA,2)-VLOOKUP((H112/F112*30.4),SUBSIDIO,2))/30.4*F112,2),0),0)</f>
        <v>45.49</v>
      </c>
      <c r="J112" s="202">
        <f>IFERROR(IF(ROUND((((H112/F112*30.4)-VLOOKUP((H112/F112*30.4),TARIFA,1))*VLOOKUP((H112/F112*30.4),TARIFA,3)+VLOOKUP((H112/F112*30.4),TARIFA,2)-VLOOKUP((H112/F112*30.4),SUBSIDIO,2))/30.4*F112,2)&gt;0,ROUND((((H112/F112*30.4)-VLOOKUP((H112/F112*30.4),TARIFA,1))*VLOOKUP((H112/F112*30.4),TARIFA,3)+VLOOKUP((H112/F112*30.4),TARIFA,2)-VLOOKUP((H112/F112*30.4),SUBSIDIO,2))/30.4*F112,2),0),0)</f>
        <v>0</v>
      </c>
      <c r="K112" s="203"/>
      <c r="L112" s="203">
        <f>H112+I112</f>
        <v>2265.4899999999998</v>
      </c>
      <c r="M112" s="19"/>
      <c r="P112" s="54"/>
      <c r="Q112" s="56"/>
    </row>
    <row r="113" spans="2:17" ht="39.950000000000003" customHeight="1" x14ac:dyDescent="0.3">
      <c r="D113" s="236" t="s">
        <v>263</v>
      </c>
      <c r="E113" s="147"/>
      <c r="F113" s="142"/>
      <c r="G113" s="160"/>
      <c r="H113" s="145"/>
      <c r="I113" s="337"/>
      <c r="J113" s="337"/>
      <c r="K113" s="145"/>
      <c r="L113" s="145"/>
      <c r="M113" s="19"/>
      <c r="P113" s="54"/>
      <c r="Q113" s="56"/>
    </row>
    <row r="114" spans="2:17" ht="39.950000000000003" customHeight="1" x14ac:dyDescent="0.3">
      <c r="D114" s="222" t="s">
        <v>266</v>
      </c>
      <c r="E114" s="223" t="s">
        <v>267</v>
      </c>
      <c r="F114" s="224">
        <v>15</v>
      </c>
      <c r="G114" s="203">
        <v>2220</v>
      </c>
      <c r="H114" s="203">
        <v>2220</v>
      </c>
      <c r="I114" s="202">
        <f>IFERROR(IF(ROUND((((H114/F114*30.4)-VLOOKUP((H114/F114*30.4),TARIFA,1))*VLOOKUP((H114/F114*30.4),TARIFA,3)+VLOOKUP((H114/F114*30.4),TARIFA,2)-VLOOKUP((H114/F114*30.4),SUBSIDIO,2))/30.4*F114,2)&lt;0,ROUND(-(((H114/F114*30.4)-VLOOKUP((H114/F114*30.4),TARIFA,1))*VLOOKUP((H114/F114*30.4),TARIFA,3)+VLOOKUP((H114/F114*30.4),TARIFA,2)-VLOOKUP((H114/F114*30.4),SUBSIDIO,2))/30.4*F114,2),0),0)</f>
        <v>45.49</v>
      </c>
      <c r="J114" s="202">
        <f>IFERROR(IF(ROUND((((H114/F114*30.4)-VLOOKUP((H114/F114*30.4),TARIFA,1))*VLOOKUP((H114/F114*30.4),TARIFA,3)+VLOOKUP((H114/F114*30.4),TARIFA,2)-VLOOKUP((H114/F114*30.4),SUBSIDIO,2))/30.4*F114,2)&gt;0,ROUND((((H114/F114*30.4)-VLOOKUP((H114/F114*30.4),TARIFA,1))*VLOOKUP((H114/F114*30.4),TARIFA,3)+VLOOKUP((H114/F114*30.4),TARIFA,2)-VLOOKUP((H114/F114*30.4),SUBSIDIO,2))/30.4*F114,2),0),0)</f>
        <v>0</v>
      </c>
      <c r="K114" s="203"/>
      <c r="L114" s="203">
        <f>H114+I114</f>
        <v>2265.4899999999998</v>
      </c>
      <c r="M114" s="19"/>
      <c r="P114" s="54"/>
      <c r="Q114" s="56"/>
    </row>
    <row r="115" spans="2:17" ht="38.1" customHeight="1" x14ac:dyDescent="0.2">
      <c r="D115" s="190"/>
      <c r="E115" s="191"/>
      <c r="F115" s="192"/>
      <c r="G115" s="193">
        <f>SUM(G89:G114)</f>
        <v>45706</v>
      </c>
      <c r="H115" s="193">
        <f>SUM(H89:H114)</f>
        <v>42921</v>
      </c>
      <c r="I115" s="357">
        <f>SUM(I89:I114)</f>
        <v>386.81000000000006</v>
      </c>
      <c r="J115" s="357">
        <f>SUM(J89:J114)</f>
        <v>915.46999999999991</v>
      </c>
      <c r="K115" s="193"/>
      <c r="L115" s="193">
        <f>SUM(L89:L114)</f>
        <v>42392.339999999989</v>
      </c>
      <c r="M115" s="83"/>
      <c r="P115" s="54"/>
      <c r="Q115" s="56"/>
    </row>
    <row r="116" spans="2:17" ht="38.1" customHeight="1" x14ac:dyDescent="0.2">
      <c r="D116" s="190"/>
      <c r="E116" s="191"/>
      <c r="F116" s="192"/>
      <c r="G116" s="193"/>
      <c r="H116" s="193"/>
      <c r="I116" s="357"/>
      <c r="J116" s="357"/>
      <c r="K116" s="193"/>
      <c r="L116" s="193"/>
      <c r="M116" s="83"/>
      <c r="P116" s="54"/>
      <c r="Q116" s="56"/>
    </row>
    <row r="117" spans="2:17" ht="38.1" customHeight="1" x14ac:dyDescent="0.2">
      <c r="D117" s="190"/>
      <c r="E117" s="191"/>
      <c r="F117" s="192"/>
      <c r="G117" s="193"/>
      <c r="H117" s="193"/>
      <c r="I117" s="357"/>
      <c r="J117" s="357"/>
      <c r="K117" s="193"/>
      <c r="L117" s="193"/>
      <c r="M117" s="83"/>
      <c r="P117" s="54"/>
      <c r="Q117" s="56"/>
    </row>
    <row r="118" spans="2:17" ht="38.1" customHeight="1" x14ac:dyDescent="0.2">
      <c r="D118" s="190"/>
      <c r="E118" s="191"/>
      <c r="F118" s="192"/>
      <c r="G118" s="193"/>
      <c r="H118" s="193"/>
      <c r="I118" s="357"/>
      <c r="J118" s="357"/>
      <c r="K118" s="193"/>
      <c r="L118" s="193"/>
      <c r="M118" s="83"/>
      <c r="P118" s="54"/>
      <c r="Q118" s="56"/>
    </row>
    <row r="119" spans="2:17" ht="38.1" customHeight="1" x14ac:dyDescent="0.2">
      <c r="D119" s="190"/>
      <c r="E119" s="191"/>
      <c r="F119" s="192"/>
      <c r="G119" s="193"/>
      <c r="H119" s="193"/>
      <c r="I119" s="357"/>
      <c r="J119" s="357"/>
      <c r="K119" s="193"/>
      <c r="L119" s="193"/>
      <c r="M119" s="83"/>
      <c r="P119" s="54"/>
      <c r="Q119" s="56"/>
    </row>
    <row r="120" spans="2:17" ht="20.100000000000001" customHeight="1" x14ac:dyDescent="0.3">
      <c r="D120" s="417"/>
      <c r="E120" s="417"/>
      <c r="F120" s="417"/>
      <c r="G120" s="417"/>
      <c r="H120" s="417"/>
      <c r="I120" s="417"/>
      <c r="J120" s="417"/>
      <c r="K120" s="417"/>
      <c r="L120" s="417"/>
      <c r="M120" s="417"/>
      <c r="P120" s="54"/>
      <c r="Q120" s="56"/>
    </row>
    <row r="121" spans="2:17" ht="20.100000000000001" customHeight="1" x14ac:dyDescent="0.3"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P121" s="54"/>
      <c r="Q121" s="56"/>
    </row>
    <row r="122" spans="2:17" ht="20.100000000000001" customHeight="1" x14ac:dyDescent="0.3">
      <c r="D122" s="418"/>
      <c r="E122" s="418"/>
      <c r="F122" s="418"/>
      <c r="G122" s="418"/>
      <c r="H122" s="418"/>
      <c r="I122" s="418"/>
      <c r="J122" s="418"/>
      <c r="K122" s="418"/>
      <c r="L122" s="418"/>
      <c r="M122" s="418"/>
      <c r="P122" s="54"/>
      <c r="Q122" s="56"/>
    </row>
    <row r="123" spans="2:17" ht="20.100000000000001" customHeight="1" x14ac:dyDescent="0.3">
      <c r="D123" s="418"/>
      <c r="E123" s="418"/>
      <c r="F123" s="418"/>
      <c r="G123" s="418"/>
      <c r="H123" s="418"/>
      <c r="I123" s="418"/>
      <c r="J123" s="418"/>
      <c r="K123" s="418"/>
      <c r="L123" s="418"/>
      <c r="M123" s="418"/>
      <c r="P123" s="54"/>
      <c r="Q123" s="56"/>
    </row>
    <row r="124" spans="2:17" ht="33" customHeight="1" x14ac:dyDescent="0.2">
      <c r="D124" s="108"/>
      <c r="E124" s="108"/>
      <c r="F124" s="109" t="s">
        <v>3</v>
      </c>
      <c r="G124" s="422" t="s">
        <v>0</v>
      </c>
      <c r="H124" s="423"/>
      <c r="I124" s="424"/>
      <c r="J124" s="348"/>
      <c r="K124" s="110"/>
      <c r="L124" s="109"/>
      <c r="M124" s="111"/>
      <c r="P124" s="54"/>
      <c r="Q124" s="56"/>
    </row>
    <row r="125" spans="2:17" ht="33" customHeight="1" x14ac:dyDescent="0.2">
      <c r="D125" s="109"/>
      <c r="E125" s="118"/>
      <c r="F125" s="112" t="s">
        <v>4</v>
      </c>
      <c r="G125" s="113" t="s">
        <v>1</v>
      </c>
      <c r="H125" s="113" t="s">
        <v>152</v>
      </c>
      <c r="I125" s="349" t="s">
        <v>155</v>
      </c>
      <c r="J125" s="349"/>
      <c r="K125" s="109" t="s">
        <v>169</v>
      </c>
      <c r="L125" s="109" t="s">
        <v>154</v>
      </c>
      <c r="M125" s="114"/>
      <c r="P125" s="54"/>
      <c r="Q125" s="56"/>
    </row>
    <row r="126" spans="2:17" ht="33" customHeight="1" x14ac:dyDescent="0.25">
      <c r="D126" s="115"/>
      <c r="E126" s="115" t="s">
        <v>8</v>
      </c>
      <c r="F126" s="109"/>
      <c r="G126" s="109" t="s">
        <v>6</v>
      </c>
      <c r="H126" s="109" t="s">
        <v>154</v>
      </c>
      <c r="I126" s="112" t="s">
        <v>156</v>
      </c>
      <c r="J126" s="112" t="s">
        <v>157</v>
      </c>
      <c r="K126" s="109" t="s">
        <v>171</v>
      </c>
      <c r="L126" s="109" t="s">
        <v>160</v>
      </c>
      <c r="M126" s="113" t="s">
        <v>163</v>
      </c>
      <c r="P126" s="54"/>
      <c r="Q126" s="56"/>
    </row>
    <row r="127" spans="2:17" ht="33" customHeight="1" x14ac:dyDescent="0.25">
      <c r="D127" s="115" t="s">
        <v>74</v>
      </c>
      <c r="E127" s="115" t="s">
        <v>7</v>
      </c>
      <c r="F127" s="113"/>
      <c r="G127" s="113"/>
      <c r="H127" s="113"/>
      <c r="I127" s="349"/>
      <c r="J127" s="350"/>
      <c r="K127" s="117"/>
      <c r="L127" s="113"/>
      <c r="M127" s="113"/>
      <c r="P127" s="54"/>
      <c r="Q127" s="56"/>
    </row>
    <row r="128" spans="2:17" ht="33" customHeight="1" x14ac:dyDescent="0.3">
      <c r="B128" s="80"/>
      <c r="D128" s="368" t="s">
        <v>58</v>
      </c>
      <c r="E128" s="227"/>
      <c r="F128" s="224"/>
      <c r="G128" s="208"/>
      <c r="H128" s="369"/>
      <c r="I128" s="370"/>
      <c r="J128" s="370"/>
      <c r="K128" s="369"/>
      <c r="L128" s="203"/>
      <c r="M128" s="19"/>
      <c r="P128" s="54"/>
      <c r="Q128" s="56"/>
    </row>
    <row r="129" spans="4:17" ht="33" customHeight="1" x14ac:dyDescent="0.3">
      <c r="D129" s="371" t="s">
        <v>83</v>
      </c>
      <c r="E129" s="372" t="s">
        <v>84</v>
      </c>
      <c r="F129" s="373">
        <v>15</v>
      </c>
      <c r="G129" s="374">
        <v>2193</v>
      </c>
      <c r="H129" s="203">
        <f>G129</f>
        <v>2193</v>
      </c>
      <c r="I129" s="202">
        <f>IFERROR(IF(ROUND((((H129/F129*30.4)-VLOOKUP((H129/F129*30.4),TARIFA,1))*VLOOKUP((H129/F129*30.4),TARIFA,3)+VLOOKUP((H129/F129*30.4),TARIFA,2)-VLOOKUP((H129/F129*30.4),SUBSIDIO,2))/30.4*F129,2)&lt;0,ROUND(-(((H129/F129*30.4)-VLOOKUP((H129/F129*30.4),TARIFA,1))*VLOOKUP((H129/F129*30.4),TARIFA,3)+VLOOKUP((H129/F129*30.4),TARIFA,2)-VLOOKUP((H129/F129*30.4),SUBSIDIO,2))/30.4*F129,2),0),0)</f>
        <v>61.15</v>
      </c>
      <c r="J129" s="202">
        <f>IFERROR(IF(ROUND((((H129/F129*30.4)-VLOOKUP((H129/F129*30.4),TARIFA,1))*VLOOKUP((H129/F129*30.4),TARIFA,3)+VLOOKUP((H129/F129*30.4),TARIFA,2)-VLOOKUP((H129/F129*30.4),SUBSIDIO,2))/30.4*F129,2)&gt;0,ROUND((((H129/F129*30.4)-VLOOKUP((H129/F129*30.4),TARIFA,1))*VLOOKUP((H129/F129*30.4),TARIFA,3)+VLOOKUP((H129/F129*30.4),TARIFA,2)-VLOOKUP((H129/F129*30.4),SUBSIDIO,2))/30.4*F129,2),0),0)</f>
        <v>0</v>
      </c>
      <c r="K129" s="203">
        <v>0</v>
      </c>
      <c r="L129" s="203">
        <f>H129+I129-J129-K129</f>
        <v>2254.15</v>
      </c>
      <c r="M129" s="19"/>
      <c r="P129" s="54"/>
      <c r="Q129" s="56"/>
    </row>
    <row r="130" spans="4:17" ht="33" customHeight="1" x14ac:dyDescent="0.3">
      <c r="D130" s="236" t="s">
        <v>44</v>
      </c>
      <c r="E130" s="227"/>
      <c r="F130" s="224"/>
      <c r="G130" s="208"/>
      <c r="H130" s="203"/>
      <c r="I130" s="202"/>
      <c r="J130" s="202"/>
      <c r="K130" s="203"/>
      <c r="L130" s="203"/>
      <c r="M130" s="19"/>
      <c r="P130" s="54"/>
      <c r="Q130" s="56"/>
    </row>
    <row r="131" spans="4:17" ht="33" customHeight="1" x14ac:dyDescent="0.3">
      <c r="D131" s="222" t="s">
        <v>222</v>
      </c>
      <c r="E131" s="227" t="s">
        <v>34</v>
      </c>
      <c r="F131" s="224">
        <v>15</v>
      </c>
      <c r="G131" s="208">
        <v>787</v>
      </c>
      <c r="H131" s="203">
        <f t="shared" ref="H131:H140" si="6">G131</f>
        <v>787</v>
      </c>
      <c r="I131" s="202">
        <f t="shared" ref="I131:I140" si="7">IFERROR(IF(ROUND((((H131/F131*30.4)-VLOOKUP((H131/F131*30.4),TARIFA,1))*VLOOKUP((H131/F131*30.4),TARIFA,3)+VLOOKUP((H131/F131*30.4),TARIFA,2)-VLOOKUP((H131/F131*30.4),SUBSIDIO,2))/30.4*F131,2)&lt;0,ROUND(-(((H131/F131*30.4)-VLOOKUP((H131/F131*30.4),TARIFA,1))*VLOOKUP((H131/F131*30.4),TARIFA,3)+VLOOKUP((H131/F131*30.4),TARIFA,2)-VLOOKUP((H131/F131*30.4),SUBSIDIO,2))/30.4*F131,2),0),0)</f>
        <v>163.25</v>
      </c>
      <c r="J131" s="202">
        <f t="shared" ref="J131:J140" si="8">IFERROR(IF(ROUND((((H131/F131*30.4)-VLOOKUP((H131/F131*30.4),TARIFA,1))*VLOOKUP((H131/F131*30.4),TARIFA,3)+VLOOKUP((H131/F131*30.4),TARIFA,2)-VLOOKUP((H131/F131*30.4),SUBSIDIO,2))/30.4*F131,2)&gt;0,ROUND((((H131/F131*30.4)-VLOOKUP((H131/F131*30.4),TARIFA,1))*VLOOKUP((H131/F131*30.4),TARIFA,3)+VLOOKUP((H131/F131*30.4),TARIFA,2)-VLOOKUP((H131/F131*30.4),SUBSIDIO,2))/30.4*F131,2),0),0)</f>
        <v>0</v>
      </c>
      <c r="K131" s="203">
        <v>0</v>
      </c>
      <c r="L131" s="203">
        <f t="shared" ref="L131:L152" si="9">H131+I131-J131-K131</f>
        <v>950.25</v>
      </c>
      <c r="M131" s="19"/>
      <c r="P131" s="54"/>
      <c r="Q131" s="56"/>
    </row>
    <row r="132" spans="4:17" ht="33" customHeight="1" x14ac:dyDescent="0.3">
      <c r="D132" s="222" t="s">
        <v>294</v>
      </c>
      <c r="E132" s="227" t="s">
        <v>34</v>
      </c>
      <c r="F132" s="224">
        <v>15</v>
      </c>
      <c r="G132" s="208">
        <v>787</v>
      </c>
      <c r="H132" s="203">
        <f t="shared" si="6"/>
        <v>787</v>
      </c>
      <c r="I132" s="202">
        <f t="shared" si="7"/>
        <v>163.25</v>
      </c>
      <c r="J132" s="202">
        <f t="shared" si="8"/>
        <v>0</v>
      </c>
      <c r="K132" s="203">
        <v>0</v>
      </c>
      <c r="L132" s="203">
        <f t="shared" si="9"/>
        <v>950.25</v>
      </c>
      <c r="M132" s="19"/>
      <c r="P132" s="54"/>
      <c r="Q132" s="56"/>
    </row>
    <row r="133" spans="4:17" ht="33" customHeight="1" x14ac:dyDescent="0.3">
      <c r="D133" s="222" t="s">
        <v>236</v>
      </c>
      <c r="E133" s="227" t="s">
        <v>34</v>
      </c>
      <c r="F133" s="224">
        <v>15</v>
      </c>
      <c r="G133" s="208">
        <v>787</v>
      </c>
      <c r="H133" s="203">
        <f t="shared" si="6"/>
        <v>787</v>
      </c>
      <c r="I133" s="202">
        <f t="shared" si="7"/>
        <v>163.25</v>
      </c>
      <c r="J133" s="202">
        <f t="shared" si="8"/>
        <v>0</v>
      </c>
      <c r="K133" s="203">
        <v>0</v>
      </c>
      <c r="L133" s="203">
        <f t="shared" si="9"/>
        <v>950.25</v>
      </c>
      <c r="M133" s="19"/>
      <c r="P133" s="54"/>
      <c r="Q133" s="56"/>
    </row>
    <row r="134" spans="4:17" ht="33" customHeight="1" x14ac:dyDescent="0.3">
      <c r="D134" s="222" t="s">
        <v>110</v>
      </c>
      <c r="E134" s="227" t="s">
        <v>34</v>
      </c>
      <c r="F134" s="224">
        <v>15</v>
      </c>
      <c r="G134" s="208">
        <v>787</v>
      </c>
      <c r="H134" s="203">
        <f t="shared" si="6"/>
        <v>787</v>
      </c>
      <c r="I134" s="202">
        <f t="shared" si="7"/>
        <v>163.25</v>
      </c>
      <c r="J134" s="202">
        <f t="shared" si="8"/>
        <v>0</v>
      </c>
      <c r="K134" s="203">
        <v>0</v>
      </c>
      <c r="L134" s="203">
        <f t="shared" si="9"/>
        <v>950.25</v>
      </c>
      <c r="M134" s="19"/>
      <c r="P134" s="54"/>
      <c r="Q134" s="56"/>
    </row>
    <row r="135" spans="4:17" ht="33" customHeight="1" x14ac:dyDescent="0.3">
      <c r="D135" s="222" t="s">
        <v>293</v>
      </c>
      <c r="E135" s="227" t="s">
        <v>38</v>
      </c>
      <c r="F135" s="224">
        <v>15</v>
      </c>
      <c r="G135" s="208">
        <v>787</v>
      </c>
      <c r="H135" s="203">
        <f t="shared" si="6"/>
        <v>787</v>
      </c>
      <c r="I135" s="202">
        <f t="shared" si="7"/>
        <v>163.25</v>
      </c>
      <c r="J135" s="202">
        <f t="shared" si="8"/>
        <v>0</v>
      </c>
      <c r="K135" s="203">
        <v>0</v>
      </c>
      <c r="L135" s="203">
        <f t="shared" si="9"/>
        <v>950.25</v>
      </c>
      <c r="M135" s="19"/>
      <c r="P135" s="54"/>
      <c r="Q135" s="56"/>
    </row>
    <row r="136" spans="4:17" ht="33" customHeight="1" x14ac:dyDescent="0.3">
      <c r="D136" s="222" t="s">
        <v>231</v>
      </c>
      <c r="E136" s="227" t="s">
        <v>34</v>
      </c>
      <c r="F136" s="224">
        <v>15</v>
      </c>
      <c r="G136" s="208">
        <v>787</v>
      </c>
      <c r="H136" s="203">
        <f t="shared" si="6"/>
        <v>787</v>
      </c>
      <c r="I136" s="202">
        <f t="shared" si="7"/>
        <v>163.25</v>
      </c>
      <c r="J136" s="202">
        <f t="shared" si="8"/>
        <v>0</v>
      </c>
      <c r="K136" s="203">
        <v>0</v>
      </c>
      <c r="L136" s="203">
        <f t="shared" si="9"/>
        <v>950.25</v>
      </c>
      <c r="M136" s="19"/>
      <c r="P136" s="54"/>
      <c r="Q136" s="56"/>
    </row>
    <row r="137" spans="4:17" ht="33" customHeight="1" x14ac:dyDescent="0.3">
      <c r="D137" s="222" t="s">
        <v>237</v>
      </c>
      <c r="E137" s="227" t="s">
        <v>111</v>
      </c>
      <c r="F137" s="224">
        <v>15</v>
      </c>
      <c r="G137" s="208">
        <v>787</v>
      </c>
      <c r="H137" s="203">
        <f t="shared" si="6"/>
        <v>787</v>
      </c>
      <c r="I137" s="202">
        <f t="shared" si="7"/>
        <v>163.25</v>
      </c>
      <c r="J137" s="202">
        <f t="shared" si="8"/>
        <v>0</v>
      </c>
      <c r="K137" s="203">
        <v>0</v>
      </c>
      <c r="L137" s="203">
        <f t="shared" si="9"/>
        <v>950.25</v>
      </c>
      <c r="M137" s="19"/>
      <c r="P137" s="54"/>
      <c r="Q137" s="56"/>
    </row>
    <row r="138" spans="4:17" ht="33" customHeight="1" x14ac:dyDescent="0.3">
      <c r="D138" s="222" t="s">
        <v>268</v>
      </c>
      <c r="E138" s="223" t="s">
        <v>59</v>
      </c>
      <c r="F138" s="224">
        <v>15</v>
      </c>
      <c r="G138" s="208">
        <v>787</v>
      </c>
      <c r="H138" s="203">
        <f t="shared" si="6"/>
        <v>787</v>
      </c>
      <c r="I138" s="202">
        <f t="shared" si="7"/>
        <v>163.25</v>
      </c>
      <c r="J138" s="202">
        <f t="shared" si="8"/>
        <v>0</v>
      </c>
      <c r="K138" s="203">
        <v>0</v>
      </c>
      <c r="L138" s="203">
        <f t="shared" si="9"/>
        <v>950.25</v>
      </c>
      <c r="M138" s="19"/>
      <c r="P138" s="54"/>
      <c r="Q138" s="56"/>
    </row>
    <row r="139" spans="4:17" ht="33" customHeight="1" x14ac:dyDescent="0.3">
      <c r="D139" s="222" t="s">
        <v>262</v>
      </c>
      <c r="E139" s="223" t="s">
        <v>139</v>
      </c>
      <c r="F139" s="224">
        <v>15</v>
      </c>
      <c r="G139" s="208">
        <v>787</v>
      </c>
      <c r="H139" s="203">
        <f t="shared" si="6"/>
        <v>787</v>
      </c>
      <c r="I139" s="202">
        <f t="shared" si="7"/>
        <v>163.25</v>
      </c>
      <c r="J139" s="202">
        <f t="shared" si="8"/>
        <v>0</v>
      </c>
      <c r="K139" s="203">
        <v>0</v>
      </c>
      <c r="L139" s="203">
        <f t="shared" si="9"/>
        <v>950.25</v>
      </c>
      <c r="M139" s="19"/>
      <c r="P139" s="54"/>
      <c r="Q139" s="56"/>
    </row>
    <row r="140" spans="4:17" ht="33" customHeight="1" x14ac:dyDescent="0.3">
      <c r="D140" s="222" t="s">
        <v>292</v>
      </c>
      <c r="E140" s="227" t="s">
        <v>34</v>
      </c>
      <c r="F140" s="224">
        <v>15</v>
      </c>
      <c r="G140" s="208">
        <v>787</v>
      </c>
      <c r="H140" s="203">
        <f t="shared" si="6"/>
        <v>787</v>
      </c>
      <c r="I140" s="202">
        <f t="shared" si="7"/>
        <v>163.25</v>
      </c>
      <c r="J140" s="202">
        <f t="shared" si="8"/>
        <v>0</v>
      </c>
      <c r="K140" s="203">
        <v>0</v>
      </c>
      <c r="L140" s="203">
        <f t="shared" si="9"/>
        <v>950.25</v>
      </c>
      <c r="M140" s="19"/>
      <c r="P140" s="54"/>
      <c r="Q140" s="56"/>
    </row>
    <row r="141" spans="4:17" ht="33" customHeight="1" x14ac:dyDescent="0.3">
      <c r="D141" s="368" t="s">
        <v>334</v>
      </c>
      <c r="E141" s="227"/>
      <c r="F141" s="224"/>
      <c r="G141" s="208"/>
      <c r="H141" s="203"/>
      <c r="I141" s="202"/>
      <c r="J141" s="202"/>
      <c r="K141" s="203"/>
      <c r="L141" s="203"/>
      <c r="M141" s="19"/>
      <c r="P141" s="54"/>
      <c r="Q141" s="56"/>
    </row>
    <row r="142" spans="4:17" ht="38.25" customHeight="1" x14ac:dyDescent="0.3">
      <c r="D142" s="222" t="s">
        <v>332</v>
      </c>
      <c r="E142" s="223" t="s">
        <v>333</v>
      </c>
      <c r="F142" s="224">
        <v>15</v>
      </c>
      <c r="G142" s="208">
        <v>3089.73</v>
      </c>
      <c r="H142" s="203">
        <v>3089.73</v>
      </c>
      <c r="I142" s="202">
        <f>IFERROR(IF(ROUND((((H142/F142*30.4)-VLOOKUP((H142/F142*30.4),TARIFA,1))*VLOOKUP((H142/F142*30.4),TARIFA,3)+VLOOKUP((H142/F142*30.4),TARIFA,2)-VLOOKUP((H142/F142*30.4),SUBSIDIO,2))/30.4*F142,2)&lt;0,ROUND(-(((H142/F142*30.4)-VLOOKUP((H142/F142*30.4),TARIFA,1))*VLOOKUP((H142/F142*30.4),TARIFA,3)+VLOOKUP((H142/F142*30.4),TARIFA,2)-VLOOKUP((H142/F142*30.4),SUBSIDIO,2))/30.4*F142,2),0),0)</f>
        <v>0</v>
      </c>
      <c r="J142" s="202">
        <f>IFERROR(IF(ROUND((((H142/F142*30.4)-VLOOKUP((H142/F142*30.4),TARIFA,1))*VLOOKUP((H142/F142*30.4),TARIFA,3)+VLOOKUP((H142/F142*30.4),TARIFA,2)-VLOOKUP((H142/F142*30.4),SUBSIDIO,2))/30.4*F142,2)&gt;0,ROUND((((H142/F142*30.4)-VLOOKUP((H142/F142*30.4),TARIFA,1))*VLOOKUP((H142/F142*30.4),TARIFA,3)+VLOOKUP((H142/F142*30.4),TARIFA,2)-VLOOKUP((H142/F142*30.4),SUBSIDIO,2))/30.4*F142,2),0),0)</f>
        <v>89.73</v>
      </c>
      <c r="K142" s="203"/>
      <c r="L142" s="203">
        <f>H142-J142</f>
        <v>3000</v>
      </c>
      <c r="M142" s="19"/>
      <c r="P142" s="54"/>
      <c r="Q142" s="56"/>
    </row>
    <row r="143" spans="4:17" ht="33" customHeight="1" x14ac:dyDescent="0.3">
      <c r="D143" s="236" t="s">
        <v>336</v>
      </c>
      <c r="E143" s="222"/>
      <c r="F143" s="375"/>
      <c r="G143" s="203"/>
      <c r="H143" s="203"/>
      <c r="I143" s="202"/>
      <c r="J143" s="202"/>
      <c r="K143" s="203"/>
      <c r="L143" s="203"/>
      <c r="M143" s="19"/>
      <c r="P143" s="54"/>
      <c r="Q143" s="56"/>
    </row>
    <row r="144" spans="4:17" ht="39" customHeight="1" x14ac:dyDescent="0.3">
      <c r="D144" s="222" t="s">
        <v>207</v>
      </c>
      <c r="E144" s="376" t="s">
        <v>337</v>
      </c>
      <c r="F144" s="375">
        <v>15</v>
      </c>
      <c r="G144" s="203">
        <v>4713</v>
      </c>
      <c r="H144" s="203">
        <v>4713</v>
      </c>
      <c r="I144" s="202">
        <f>IFERROR(IF(ROUND((((H144/F144*30.4)-VLOOKUP((H144/F144*30.4),TARIFA,1))*VLOOKUP((H144/F144*30.4),TARIFA,3)+VLOOKUP((H144/F144*30.4),TARIFA,2)-VLOOKUP((H144/F144*30.4),SUBSIDIO,2))/30.4*F144,2)&lt;0,ROUND(-(((H144/F144*30.4)-VLOOKUP((H144/F144*30.4),TARIFA,1))*VLOOKUP((H144/F144*30.4),TARIFA,3)+VLOOKUP((H144/F144*30.4),TARIFA,2)-VLOOKUP((H144/F144*30.4),SUBSIDIO,2))/30.4*F144,2),0),0)</f>
        <v>0</v>
      </c>
      <c r="J144" s="202">
        <f>IFERROR(IF(ROUND((((H144/F144*30.4)-VLOOKUP((H144/F144*30.4),TARIFA,1))*VLOOKUP((H144/F144*30.4),TARIFA,3)+VLOOKUP((H144/F144*30.4),TARIFA,2)-VLOOKUP((H144/F144*30.4),SUBSIDIO,2))/30.4*F144,2)&gt;0,ROUND((((H144/F144*30.4)-VLOOKUP((H144/F144*30.4),TARIFA,1))*VLOOKUP((H144/F144*30.4),TARIFA,3)+VLOOKUP((H144/F144*30.4),TARIFA,2)-VLOOKUP((H144/F144*30.4),SUBSIDIO,2))/30.4*F144,2),0),0)</f>
        <v>414.75</v>
      </c>
      <c r="K144" s="203">
        <v>0</v>
      </c>
      <c r="L144" s="203">
        <f>H144+I144-J144-K144</f>
        <v>4298.25</v>
      </c>
      <c r="M144" s="19"/>
      <c r="P144" s="54"/>
      <c r="Q144" s="56"/>
    </row>
    <row r="145" spans="4:17" ht="33" customHeight="1" x14ac:dyDescent="0.3">
      <c r="D145" s="371" t="s">
        <v>256</v>
      </c>
      <c r="E145" s="377" t="s">
        <v>338</v>
      </c>
      <c r="F145" s="378">
        <v>15</v>
      </c>
      <c r="G145" s="203">
        <v>2868</v>
      </c>
      <c r="H145" s="203">
        <v>2868</v>
      </c>
      <c r="I145" s="202">
        <f>IFERROR(IF(ROUND((((H145/F145*30.4)-VLOOKUP((H145/F145*30.4),TARIFA,1))*VLOOKUP((H145/F145*30.4),TARIFA,3)+VLOOKUP((H145/F145*30.4),TARIFA,2)-VLOOKUP((H145/F145*30.4),SUBSIDIO,2))/30.4*F145,2)&lt;0,ROUND(-(((H145/F145*30.4)-VLOOKUP((H145/F145*30.4),TARIFA,1))*VLOOKUP((H145/F145*30.4),TARIFA,3)+VLOOKUP((H145/F145*30.4),TARIFA,2)-VLOOKUP((H145/F145*30.4),SUBSIDIO,2))/30.4*F145,2),0),0)</f>
        <v>0</v>
      </c>
      <c r="J145" s="202">
        <f>IFERROR(IF(ROUND((((H145/F145*30.4)-VLOOKUP((H145/F145*30.4),TARIFA,1))*VLOOKUP((H145/F145*30.4),TARIFA,3)+VLOOKUP((H145/F145*30.4),TARIFA,2)-VLOOKUP((H145/F145*30.4),SUBSIDIO,2))/30.4*F145,2)&gt;0,ROUND((((H145/F145*30.4)-VLOOKUP((H145/F145*30.4),TARIFA,1))*VLOOKUP((H145/F145*30.4),TARIFA,3)+VLOOKUP((H145/F145*30.4),TARIFA,2)-VLOOKUP((H145/F145*30.4),SUBSIDIO,2))/30.4*F145,2),0),0)</f>
        <v>45.33</v>
      </c>
      <c r="K145" s="203"/>
      <c r="L145" s="203">
        <f>H145-J145</f>
        <v>2822.67</v>
      </c>
      <c r="M145" s="19"/>
      <c r="P145" s="54"/>
      <c r="Q145" s="56"/>
    </row>
    <row r="146" spans="4:17" ht="7.5" hidden="1" customHeight="1" x14ac:dyDescent="0.3">
      <c r="D146" s="379"/>
      <c r="E146" s="380"/>
      <c r="F146" s="380"/>
      <c r="G146" s="381"/>
      <c r="H146" s="381"/>
      <c r="I146" s="382"/>
      <c r="J146" s="382"/>
      <c r="K146" s="380"/>
      <c r="L146" s="380"/>
      <c r="M146" s="19"/>
      <c r="P146" s="54"/>
      <c r="Q146" s="56"/>
    </row>
    <row r="147" spans="4:17" ht="9" hidden="1" customHeight="1" x14ac:dyDescent="0.3">
      <c r="D147" s="383"/>
      <c r="E147" s="384"/>
      <c r="F147" s="385"/>
      <c r="G147" s="208"/>
      <c r="H147" s="203"/>
      <c r="I147" s="353"/>
      <c r="J147" s="353"/>
      <c r="K147" s="214">
        <v>0</v>
      </c>
      <c r="L147" s="214"/>
      <c r="M147" s="19"/>
      <c r="P147" s="54"/>
      <c r="Q147" s="56"/>
    </row>
    <row r="148" spans="4:17" ht="33" customHeight="1" x14ac:dyDescent="0.3">
      <c r="D148" s="236" t="s">
        <v>18</v>
      </c>
      <c r="E148" s="222"/>
      <c r="F148" s="375"/>
      <c r="G148" s="203"/>
      <c r="H148" s="203"/>
      <c r="I148" s="202"/>
      <c r="J148" s="202"/>
      <c r="K148" s="203"/>
      <c r="L148" s="203"/>
      <c r="M148" s="19"/>
      <c r="P148" s="54"/>
      <c r="Q148" s="56"/>
    </row>
    <row r="149" spans="4:17" ht="33" customHeight="1" x14ac:dyDescent="0.3">
      <c r="D149" s="222" t="s">
        <v>205</v>
      </c>
      <c r="E149" s="386" t="s">
        <v>176</v>
      </c>
      <c r="F149" s="375">
        <v>15</v>
      </c>
      <c r="G149" s="203">
        <v>3758</v>
      </c>
      <c r="H149" s="203">
        <v>3758</v>
      </c>
      <c r="I149" s="202">
        <f>IFERROR(IF(ROUND((((H149/F149*30.4)-VLOOKUP((H149/F149*30.4),TARIFA,1))*VLOOKUP((H149/F149*30.4),TARIFA,3)+VLOOKUP((H149/F149*30.4),TARIFA,2)-VLOOKUP((H149/F149*30.4),SUBSIDIO,2))/30.4*F149,2)&lt;0,ROUND(-(((H149/F149*30.4)-VLOOKUP((H149/F149*30.4),TARIFA,1))*VLOOKUP((H149/F149*30.4),TARIFA,3)+VLOOKUP((H149/F149*30.4),TARIFA,2)-VLOOKUP((H149/F149*30.4),SUBSIDIO,2))/30.4*F149,2),0),0)</f>
        <v>0</v>
      </c>
      <c r="J149" s="202">
        <f>IFERROR(IF(ROUND((((H149/F149*30.4)-VLOOKUP((H149/F149*30.4),TARIFA,1))*VLOOKUP((H149/F149*30.4),TARIFA,3)+VLOOKUP((H149/F149*30.4),TARIFA,2)-VLOOKUP((H149/F149*30.4),SUBSIDIO,2))/30.4*F149,2)&gt;0,ROUND((((H149/F149*30.4)-VLOOKUP((H149/F149*30.4),TARIFA,1))*VLOOKUP((H149/F149*30.4),TARIFA,3)+VLOOKUP((H149/F149*30.4),TARIFA,2)-VLOOKUP((H149/F149*30.4),SUBSIDIO,2))/30.4*F149,2),0),0)</f>
        <v>287.54000000000002</v>
      </c>
      <c r="K149" s="203">
        <v>0</v>
      </c>
      <c r="L149" s="203">
        <f>H149+I149-J149-K149</f>
        <v>3470.46</v>
      </c>
      <c r="M149" s="19"/>
      <c r="P149" s="54"/>
      <c r="Q149" s="56"/>
    </row>
    <row r="150" spans="4:17" ht="33" customHeight="1" x14ac:dyDescent="0.3">
      <c r="D150" s="368" t="s">
        <v>93</v>
      </c>
      <c r="E150" s="227"/>
      <c r="F150" s="224"/>
      <c r="G150" s="208"/>
      <c r="H150" s="203"/>
      <c r="I150" s="202"/>
      <c r="J150" s="202"/>
      <c r="K150" s="203"/>
      <c r="L150" s="203"/>
      <c r="M150" s="19"/>
      <c r="P150" s="54"/>
      <c r="Q150" s="56"/>
    </row>
    <row r="151" spans="4:17" ht="33" customHeight="1" x14ac:dyDescent="0.3">
      <c r="D151" s="222" t="s">
        <v>275</v>
      </c>
      <c r="E151" s="223" t="s">
        <v>276</v>
      </c>
      <c r="F151" s="224">
        <v>15</v>
      </c>
      <c r="G151" s="208">
        <v>2016</v>
      </c>
      <c r="H151" s="203">
        <v>2016</v>
      </c>
      <c r="I151" s="202">
        <f>IFERROR(IF(ROUND((((H151/F151*30.4)-VLOOKUP((H151/F151*30.4),TARIFA,1))*VLOOKUP((H151/F151*30.4),TARIFA,3)+VLOOKUP((H151/F151*30.4),TARIFA,2)-VLOOKUP((H151/F151*30.4),SUBSIDIO,2))/30.4*F151,2)&lt;0,ROUND(-(((H151/F151*30.4)-VLOOKUP((H151/F151*30.4),TARIFA,1))*VLOOKUP((H151/F151*30.4),TARIFA,3)+VLOOKUP((H151/F151*30.4),TARIFA,2)-VLOOKUP((H151/F151*30.4),SUBSIDIO,2))/30.4*F151,2),0),0)</f>
        <v>72.48</v>
      </c>
      <c r="J151" s="202">
        <f>IFERROR(IF(ROUND((((H151/F151*30.4)-VLOOKUP((H151/F151*30.4),TARIFA,1))*VLOOKUP((H151/F151*30.4),TARIFA,3)+VLOOKUP((H151/F151*30.4),TARIFA,2)-VLOOKUP((H151/F151*30.4),SUBSIDIO,2))/30.4*F151,2)&gt;0,ROUND((((H151/F151*30.4)-VLOOKUP((H151/F151*30.4),TARIFA,1))*VLOOKUP((H151/F151*30.4),TARIFA,3)+VLOOKUP((H151/F151*30.4),TARIFA,2)-VLOOKUP((H151/F151*30.4),SUBSIDIO,2))/30.4*F151,2),0),0)</f>
        <v>0</v>
      </c>
      <c r="K151" s="203"/>
      <c r="L151" s="203">
        <f>H151+I151</f>
        <v>2088.48</v>
      </c>
      <c r="M151" s="19"/>
      <c r="P151" s="54"/>
      <c r="Q151" s="56"/>
    </row>
    <row r="152" spans="4:17" ht="33" customHeight="1" x14ac:dyDescent="0.3">
      <c r="D152" s="227" t="s">
        <v>138</v>
      </c>
      <c r="E152" s="227" t="s">
        <v>15</v>
      </c>
      <c r="F152" s="224">
        <v>15</v>
      </c>
      <c r="G152" s="208">
        <v>1905</v>
      </c>
      <c r="H152" s="203">
        <f>G152</f>
        <v>1905</v>
      </c>
      <c r="I152" s="202">
        <f>IFERROR(IF(ROUND((((H152/F152*30.4)-VLOOKUP((H152/F152*30.4),TARIFA,1))*VLOOKUP((H152/F152*30.4),TARIFA,3)+VLOOKUP((H152/F152*30.4),TARIFA,2)-VLOOKUP((H152/F152*30.4),SUBSIDIO,2))/30.4*F152,2)&lt;0,ROUND(-(((H152/F152*30.4)-VLOOKUP((H152/F152*30.4),TARIFA,1))*VLOOKUP((H152/F152*30.4),TARIFA,3)+VLOOKUP((H152/F152*30.4),TARIFA,2)-VLOOKUP((H152/F152*30.4),SUBSIDIO,2))/30.4*F152,2),0),0)</f>
        <v>79.58</v>
      </c>
      <c r="J152" s="202">
        <f>IFERROR(IF(ROUND((((H152/F152*30.4)-VLOOKUP((H152/F152*30.4),TARIFA,1))*VLOOKUP((H152/F152*30.4),TARIFA,3)+VLOOKUP((H152/F152*30.4),TARIFA,2)-VLOOKUP((H152/F152*30.4),SUBSIDIO,2))/30.4*F152,2)&gt;0,ROUND((((H152/F152*30.4)-VLOOKUP((H152/F152*30.4),TARIFA,1))*VLOOKUP((H152/F152*30.4),TARIFA,3)+VLOOKUP((H152/F152*30.4),TARIFA,2)-VLOOKUP((H152/F152*30.4),SUBSIDIO,2))/30.4*F152,2),0),0)</f>
        <v>0</v>
      </c>
      <c r="K152" s="203">
        <v>0</v>
      </c>
      <c r="L152" s="203">
        <f t="shared" si="9"/>
        <v>1984.58</v>
      </c>
      <c r="M152" s="19"/>
      <c r="P152" s="54"/>
      <c r="Q152" s="56"/>
    </row>
    <row r="153" spans="4:17" ht="33" customHeight="1" x14ac:dyDescent="0.3">
      <c r="D153" s="368" t="s">
        <v>178</v>
      </c>
      <c r="E153" s="227"/>
      <c r="F153" s="224"/>
      <c r="G153" s="208"/>
      <c r="H153" s="203"/>
      <c r="I153" s="202"/>
      <c r="J153" s="202"/>
      <c r="K153" s="203"/>
      <c r="L153" s="203"/>
      <c r="M153" s="19"/>
      <c r="P153" s="54"/>
      <c r="Q153" s="56"/>
    </row>
    <row r="154" spans="4:17" ht="33" customHeight="1" x14ac:dyDescent="0.3">
      <c r="D154" s="227" t="s">
        <v>226</v>
      </c>
      <c r="E154" s="223" t="s">
        <v>179</v>
      </c>
      <c r="F154" s="224">
        <v>15</v>
      </c>
      <c r="G154" s="203">
        <v>3649</v>
      </c>
      <c r="H154" s="203">
        <v>3649</v>
      </c>
      <c r="I154" s="202">
        <f>IFERROR(IF(ROUND((((H154/F154*30.4)-VLOOKUP((H154/F154*30.4),TARIFA,1))*VLOOKUP((H154/F154*30.4),TARIFA,3)+VLOOKUP((H154/F154*30.4),TARIFA,2)-VLOOKUP((H154/F154*30.4),SUBSIDIO,2))/30.4*F154,2)&lt;0,ROUND(-(((H154/F154*30.4)-VLOOKUP((H154/F154*30.4),TARIFA,1))*VLOOKUP((H154/F154*30.4),TARIFA,3)+VLOOKUP((H154/F154*30.4),TARIFA,2)-VLOOKUP((H154/F154*30.4),SUBSIDIO,2))/30.4*F154,2),0),0)</f>
        <v>0</v>
      </c>
      <c r="J154" s="202">
        <f>IFERROR(IF(ROUND((((H154/F154*30.4)-VLOOKUP((H154/F154*30.4),TARIFA,1))*VLOOKUP((H154/F154*30.4),TARIFA,3)+VLOOKUP((H154/F154*30.4),TARIFA,2)-VLOOKUP((H154/F154*30.4),SUBSIDIO,2))/30.4*F154,2)&gt;0,ROUND((((H154/F154*30.4)-VLOOKUP((H154/F154*30.4),TARIFA,1))*VLOOKUP((H154/F154*30.4),TARIFA,3)+VLOOKUP((H154/F154*30.4),TARIFA,2)-VLOOKUP((H154/F154*30.4),SUBSIDIO,2))/30.4*F154,2),0),0)</f>
        <v>275.68</v>
      </c>
      <c r="K154" s="203">
        <v>0</v>
      </c>
      <c r="L154" s="203">
        <f>H154+I154-J154-K154</f>
        <v>3373.32</v>
      </c>
      <c r="M154" s="19"/>
      <c r="P154" s="54"/>
      <c r="Q154" s="56"/>
    </row>
    <row r="155" spans="4:17" ht="33" customHeight="1" thickBot="1" x14ac:dyDescent="0.35">
      <c r="D155" s="170"/>
      <c r="E155" s="171"/>
      <c r="F155" s="172" t="s">
        <v>5</v>
      </c>
      <c r="G155" s="173">
        <f>G157+G115+G79+G43</f>
        <v>192358.72999999998</v>
      </c>
      <c r="H155" s="173">
        <f>H157+H115+H79+H43</f>
        <v>189573.72999999998</v>
      </c>
      <c r="I155" s="358">
        <f>I157+I115+I79+I43</f>
        <v>3283.56</v>
      </c>
      <c r="J155" s="358">
        <f>J157+J115+J79+J43</f>
        <v>6150.3499999999995</v>
      </c>
      <c r="K155" s="173" t="e">
        <f>K154+K152+#REF!+K151+K149+K147+K145+K144+K142+K140+K139+K138+K137+K136+K135+K134+K133+K132+K131+K129+K100+#REF!+K99+K93+K91+K89+K78+K76+K75+K73+K72+K71+K70+K69+K68+K67+K66+K65+K64+K63+K62+K61+K60+K59+K58+K57+K56+K55+K54+K53+K40+K35+K34+K32+K31+K30+K27+K25+K24+K23+K22+K20+K19+#REF!+K16+K14+K13+K12</f>
        <v>#REF!</v>
      </c>
      <c r="L155" s="173">
        <f>L167+L115+L79+L43</f>
        <v>186706.93999999997</v>
      </c>
      <c r="M155" s="3"/>
      <c r="P155" s="56"/>
      <c r="Q155" s="56"/>
    </row>
    <row r="156" spans="4:17" ht="13.5" thickTop="1" x14ac:dyDescent="0.2">
      <c r="G156" s="261"/>
      <c r="H156" s="261"/>
      <c r="I156" s="359"/>
      <c r="J156" s="359"/>
      <c r="L156" s="11"/>
    </row>
    <row r="157" spans="4:17" x14ac:dyDescent="0.2">
      <c r="E157" s="2"/>
      <c r="F157" s="2"/>
      <c r="G157" s="258">
        <f>SUM(G129:G154)</f>
        <v>32061.73</v>
      </c>
      <c r="H157" s="259">
        <f>SUM(H129:H154)</f>
        <v>32061.73</v>
      </c>
      <c r="I157" s="360">
        <f>SUM(I129:I154)</f>
        <v>1845.71</v>
      </c>
      <c r="J157" s="360">
        <f>SUM(J128:J154)</f>
        <v>1113.0300000000002</v>
      </c>
      <c r="K157" s="239"/>
      <c r="L157" s="238">
        <f>SUM(L129:L154)</f>
        <v>32794.409999999996</v>
      </c>
    </row>
    <row r="158" spans="4:17" x14ac:dyDescent="0.2">
      <c r="E158" s="2"/>
      <c r="F158" s="2"/>
      <c r="G158" s="258">
        <f>G157+G115+G79+G43</f>
        <v>192358.72999999998</v>
      </c>
      <c r="H158" s="259">
        <f>H157+H115+H79+H43</f>
        <v>189573.72999999998</v>
      </c>
      <c r="I158" s="360">
        <f>I157+I115+I79+I43</f>
        <v>3283.56</v>
      </c>
      <c r="J158" s="360">
        <f>J157+J115+J79+J43</f>
        <v>6150.3499999999995</v>
      </c>
      <c r="K158" s="239"/>
      <c r="L158" s="238"/>
      <c r="M158" s="11"/>
    </row>
    <row r="159" spans="4:17" x14ac:dyDescent="0.2">
      <c r="E159" s="2"/>
      <c r="F159" s="2"/>
      <c r="G159" s="260"/>
      <c r="H159" s="260"/>
      <c r="I159" s="360">
        <f>I157+I115+I79+I43</f>
        <v>3283.56</v>
      </c>
      <c r="J159" s="360">
        <f>J157+J115+J79+J43</f>
        <v>6150.3499999999995</v>
      </c>
      <c r="K159" s="239"/>
      <c r="L159" s="239"/>
    </row>
    <row r="160" spans="4:17" x14ac:dyDescent="0.2">
      <c r="D160" s="1" t="s">
        <v>120</v>
      </c>
      <c r="E160" s="2"/>
      <c r="F160" s="2"/>
      <c r="G160" s="259"/>
      <c r="H160" s="262"/>
      <c r="I160" s="360"/>
      <c r="J160" s="360"/>
      <c r="L160" s="61"/>
      <c r="M160" s="61"/>
    </row>
    <row r="161" spans="4:13" ht="14.25" x14ac:dyDescent="0.2">
      <c r="D161" s="39" t="s">
        <v>189</v>
      </c>
      <c r="E161" s="29"/>
      <c r="F161" s="29"/>
      <c r="G161" s="252"/>
      <c r="H161" s="252"/>
      <c r="I161" s="361"/>
      <c r="J161" s="361"/>
      <c r="K161" s="15"/>
      <c r="L161" s="429" t="s">
        <v>190</v>
      </c>
      <c r="M161" s="429"/>
    </row>
    <row r="162" spans="4:13" ht="15" x14ac:dyDescent="0.25">
      <c r="D162" s="40" t="s">
        <v>9</v>
      </c>
      <c r="E162" s="30"/>
      <c r="F162" s="30"/>
      <c r="G162" s="252"/>
      <c r="H162" s="252"/>
      <c r="I162" s="361"/>
      <c r="J162" s="361"/>
      <c r="K162" s="30"/>
      <c r="L162" s="428" t="s">
        <v>164</v>
      </c>
      <c r="M162" s="428"/>
    </row>
    <row r="163" spans="4:13" s="15" customFormat="1" x14ac:dyDescent="0.2">
      <c r="D163" s="1"/>
      <c r="E163" s="1"/>
      <c r="F163" s="2"/>
      <c r="G163" s="7"/>
      <c r="H163" s="7"/>
      <c r="I163" s="362"/>
      <c r="J163" s="362"/>
      <c r="K163" s="1"/>
      <c r="L163" s="1"/>
      <c r="M163" s="1"/>
    </row>
    <row r="164" spans="4:13" s="15" customFormat="1" x14ac:dyDescent="0.2">
      <c r="D164" s="32"/>
      <c r="E164" s="30"/>
      <c r="F164" s="30"/>
      <c r="G164" s="30"/>
      <c r="H164" s="30"/>
      <c r="I164" s="346"/>
      <c r="J164" s="346"/>
      <c r="K164" s="30"/>
      <c r="L164" s="237"/>
      <c r="M164" s="30"/>
    </row>
    <row r="165" spans="4:13" x14ac:dyDescent="0.2">
      <c r="F165" s="2"/>
      <c r="G165" s="2"/>
      <c r="H165" s="2"/>
      <c r="I165" s="363"/>
      <c r="J165" s="363"/>
      <c r="L165" s="56"/>
    </row>
    <row r="166" spans="4:13" x14ac:dyDescent="0.2">
      <c r="G166" s="2"/>
      <c r="H166" s="251"/>
      <c r="I166" s="363"/>
      <c r="J166" s="363"/>
      <c r="L166" s="56"/>
    </row>
    <row r="167" spans="4:13" x14ac:dyDescent="0.2">
      <c r="G167" s="2"/>
      <c r="H167" s="2"/>
      <c r="I167" s="363"/>
      <c r="J167" s="363"/>
      <c r="L167" s="11">
        <f>SUM(L129:L154)</f>
        <v>32794.409999999996</v>
      </c>
    </row>
    <row r="168" spans="4:13" x14ac:dyDescent="0.2">
      <c r="G168" s="2"/>
      <c r="H168" s="2"/>
      <c r="I168" s="363"/>
      <c r="J168" s="363"/>
    </row>
    <row r="170" spans="4:13" x14ac:dyDescent="0.2">
      <c r="J170" s="54">
        <f>L167+L115+L79+L43</f>
        <v>186706.93999999997</v>
      </c>
      <c r="L170" s="11"/>
    </row>
    <row r="171" spans="4:13" x14ac:dyDescent="0.2">
      <c r="L171" s="11"/>
    </row>
    <row r="174" spans="4:13" x14ac:dyDescent="0.2">
      <c r="L174" s="11"/>
    </row>
    <row r="176" spans="4:13" x14ac:dyDescent="0.2">
      <c r="L176" s="56"/>
    </row>
  </sheetData>
  <sheetProtection selectLockedCells="1" selectUnlockedCells="1"/>
  <mergeCells count="22">
    <mergeCell ref="L162:M162"/>
    <mergeCell ref="G48:I48"/>
    <mergeCell ref="D120:M120"/>
    <mergeCell ref="G124:I124"/>
    <mergeCell ref="L161:M161"/>
    <mergeCell ref="D83:M83"/>
    <mergeCell ref="G84:I84"/>
    <mergeCell ref="D123:M123"/>
    <mergeCell ref="D80:M80"/>
    <mergeCell ref="D121:M121"/>
    <mergeCell ref="D122:M122"/>
    <mergeCell ref="D81:M81"/>
    <mergeCell ref="D82:M82"/>
    <mergeCell ref="D44:M44"/>
    <mergeCell ref="D45:M45"/>
    <mergeCell ref="D46:M46"/>
    <mergeCell ref="D47:M47"/>
    <mergeCell ref="D3:M3"/>
    <mergeCell ref="D5:M5"/>
    <mergeCell ref="G7:I7"/>
    <mergeCell ref="D6:M6"/>
    <mergeCell ref="D4:M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Q82"/>
  <sheetViews>
    <sheetView zoomScaleNormal="100" workbookViewId="0">
      <selection activeCell="D11" sqref="D11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8.42578125" style="15" customWidth="1"/>
    <col min="5" max="5" width="33.5703125" style="15" customWidth="1"/>
    <col min="6" max="6" width="5.85546875" style="15" customWidth="1"/>
    <col min="7" max="8" width="13.7109375" style="15" bestFit="1" customWidth="1"/>
    <col min="9" max="9" width="13.85546875" style="15" bestFit="1" customWidth="1"/>
    <col min="10" max="10" width="12.28515625" style="15" customWidth="1"/>
    <col min="11" max="11" width="15.42578125" style="15" customWidth="1"/>
    <col min="12" max="12" width="58.85546875" style="15" customWidth="1"/>
    <col min="13" max="13" width="5.7109375" style="15" customWidth="1"/>
    <col min="14" max="14" width="11.42578125" style="15"/>
    <col min="15" max="15" width="12.85546875" style="15" bestFit="1" customWidth="1"/>
    <col min="16" max="16384" width="11.42578125" style="15"/>
  </cols>
  <sheetData>
    <row r="1" spans="2:17" ht="5.25" customHeight="1" x14ac:dyDescent="0.2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2:17" ht="15.75" customHeight="1" x14ac:dyDescent="0.2">
      <c r="B2" s="35"/>
      <c r="C2" s="35"/>
      <c r="D2" s="48"/>
      <c r="E2" s="48"/>
      <c r="F2" s="48"/>
      <c r="G2" s="48"/>
      <c r="H2" s="48"/>
      <c r="I2" s="48"/>
      <c r="J2" s="48"/>
      <c r="K2" s="48"/>
      <c r="L2" s="49"/>
    </row>
    <row r="3" spans="2:17" ht="20.100000000000001" customHeight="1" x14ac:dyDescent="0.5">
      <c r="B3" s="35"/>
      <c r="C3" s="35"/>
      <c r="D3" s="430"/>
      <c r="E3" s="430"/>
      <c r="F3" s="430"/>
      <c r="G3" s="430"/>
      <c r="H3" s="430"/>
      <c r="I3" s="430"/>
      <c r="J3" s="430"/>
      <c r="K3" s="430"/>
      <c r="L3" s="431"/>
    </row>
    <row r="4" spans="2:17" ht="20.100000000000001" customHeight="1" x14ac:dyDescent="0.5">
      <c r="B4" s="35"/>
      <c r="C4" s="35"/>
      <c r="D4" s="430"/>
      <c r="E4" s="430"/>
      <c r="F4" s="430"/>
      <c r="G4" s="430"/>
      <c r="H4" s="430"/>
      <c r="I4" s="430"/>
      <c r="J4" s="430"/>
      <c r="K4" s="430"/>
      <c r="L4" s="431"/>
    </row>
    <row r="5" spans="2:17" ht="20.100000000000001" customHeight="1" x14ac:dyDescent="0.5">
      <c r="B5" s="35"/>
      <c r="C5" s="35"/>
      <c r="D5" s="430"/>
      <c r="E5" s="430"/>
      <c r="F5" s="430"/>
      <c r="G5" s="430"/>
      <c r="H5" s="430"/>
      <c r="I5" s="430"/>
      <c r="J5" s="430"/>
      <c r="K5" s="430"/>
      <c r="L5" s="431"/>
    </row>
    <row r="6" spans="2:17" ht="21.75" customHeight="1" x14ac:dyDescent="0.5">
      <c r="B6" s="35"/>
      <c r="C6" s="35"/>
      <c r="D6" s="430"/>
      <c r="E6" s="430"/>
      <c r="F6" s="430"/>
      <c r="G6" s="430"/>
      <c r="H6" s="430"/>
      <c r="I6" s="430"/>
      <c r="J6" s="430"/>
      <c r="K6" s="430"/>
      <c r="L6" s="431"/>
    </row>
    <row r="7" spans="2:17" x14ac:dyDescent="0.2">
      <c r="D7" s="119"/>
      <c r="E7" s="119"/>
      <c r="F7" s="138"/>
      <c r="G7" s="120"/>
      <c r="H7" s="432"/>
      <c r="I7" s="433"/>
      <c r="J7" s="433"/>
      <c r="K7" s="433"/>
      <c r="L7" s="434"/>
    </row>
    <row r="8" spans="2:17" x14ac:dyDescent="0.2">
      <c r="D8" s="121"/>
      <c r="E8" s="121"/>
      <c r="F8" s="121"/>
      <c r="G8" s="122" t="s">
        <v>1</v>
      </c>
      <c r="H8" s="123" t="s">
        <v>152</v>
      </c>
      <c r="I8" s="123" t="s">
        <v>155</v>
      </c>
      <c r="J8" s="123"/>
      <c r="K8" s="121" t="s">
        <v>161</v>
      </c>
      <c r="L8" s="121"/>
    </row>
    <row r="9" spans="2:17" ht="24" x14ac:dyDescent="0.2">
      <c r="D9" s="122"/>
      <c r="E9" s="122" t="s">
        <v>8</v>
      </c>
      <c r="F9" s="139" t="s">
        <v>235</v>
      </c>
      <c r="G9" s="121" t="s">
        <v>153</v>
      </c>
      <c r="H9" s="122" t="s">
        <v>154</v>
      </c>
      <c r="I9" s="122" t="s">
        <v>156</v>
      </c>
      <c r="J9" s="122" t="s">
        <v>157</v>
      </c>
      <c r="K9" s="121" t="s">
        <v>160</v>
      </c>
      <c r="L9" s="121" t="s">
        <v>159</v>
      </c>
    </row>
    <row r="10" spans="2:17" x14ac:dyDescent="0.2">
      <c r="D10" s="123" t="s">
        <v>60</v>
      </c>
      <c r="E10" s="123" t="s">
        <v>7</v>
      </c>
      <c r="F10" s="123"/>
      <c r="G10" s="123"/>
      <c r="H10" s="123"/>
      <c r="I10" s="123"/>
      <c r="J10" s="123"/>
      <c r="K10" s="123"/>
      <c r="L10" s="123"/>
    </row>
    <row r="11" spans="2:17" ht="27.95" customHeight="1" x14ac:dyDescent="0.25">
      <c r="D11" s="174" t="s">
        <v>60</v>
      </c>
      <c r="E11" s="175" t="s">
        <v>61</v>
      </c>
      <c r="F11" s="175">
        <v>15</v>
      </c>
      <c r="G11" s="177">
        <v>8046</v>
      </c>
      <c r="H11" s="177">
        <f>G11</f>
        <v>8046</v>
      </c>
      <c r="I11" s="364">
        <f t="shared" ref="I11:I23" si="0">IFERROR(IF(ROUND((((H11/F11*30.4)-VLOOKUP((H11/F11*30.4),TARIFA,1))*VLOOKUP((H11/F11*30.4),TARIFA,3)+VLOOKUP((H11/F11*30.4),TARIFA,2)-VLOOKUP((H11/F11*30.4),SUBSIDIO,2))/30.4*F11,2)&lt;0,ROUND(-(((H11/F11*30.4)-VLOOKUP((H11/F11*30.4),TARIFA,1))*VLOOKUP((H11/F11*30.4),TARIFA,3)+VLOOKUP((H11/F11*30.4),TARIFA,2)-VLOOKUP((H11/F11*30.4),SUBSIDIO,2))/30.4*F11,2),0),0)</f>
        <v>0</v>
      </c>
      <c r="J11" s="364">
        <f t="shared" ref="J11:J23" si="1">IFERROR(IF(ROUND((((H11/F11*30.4)-VLOOKUP((H11/F11*30.4),TARIFA,1))*VLOOKUP((H11/F11*30.4),TARIFA,3)+VLOOKUP((H11/F11*30.4),TARIFA,2)-VLOOKUP((H11/F11*30.4),SUBSIDIO,2))/30.4*F11,2)&gt;0,ROUND((((H11/F11*30.4)-VLOOKUP((H11/F11*30.4),TARIFA,1))*VLOOKUP((H11/F11*30.4),TARIFA,3)+VLOOKUP((H11/F11*30.4),TARIFA,2)-VLOOKUP((H11/F11*30.4),SUBSIDIO,2))/30.4*F11,2),0),0)</f>
        <v>1080.4100000000001</v>
      </c>
      <c r="K11" s="177">
        <f>H11-J11</f>
        <v>6965.59</v>
      </c>
      <c r="L11" s="177"/>
      <c r="O11" s="51">
        <v>13600</v>
      </c>
      <c r="P11" s="52">
        <f>O11/2</f>
        <v>6800</v>
      </c>
      <c r="Q11" s="15">
        <f>K11/15</f>
        <v>464.3726666666667</v>
      </c>
    </row>
    <row r="12" spans="2:17" ht="27.95" customHeight="1" x14ac:dyDescent="0.25">
      <c r="D12" s="250" t="s">
        <v>60</v>
      </c>
      <c r="E12" s="183" t="s">
        <v>191</v>
      </c>
      <c r="F12" s="175">
        <v>15</v>
      </c>
      <c r="G12" s="177">
        <v>4958</v>
      </c>
      <c r="H12" s="177">
        <v>4958</v>
      </c>
      <c r="I12" s="364">
        <f t="shared" si="0"/>
        <v>0</v>
      </c>
      <c r="J12" s="364">
        <f t="shared" si="1"/>
        <v>454.11</v>
      </c>
      <c r="K12" s="177">
        <f>H12-J12</f>
        <v>4503.8900000000003</v>
      </c>
      <c r="L12" s="177"/>
      <c r="O12" s="51">
        <v>8400</v>
      </c>
      <c r="P12" s="52">
        <f t="shared" ref="P12:P20" si="2">O12/2</f>
        <v>4200</v>
      </c>
      <c r="Q12" s="15">
        <f>K12/15</f>
        <v>300.25933333333336</v>
      </c>
    </row>
    <row r="13" spans="2:17" ht="27.95" customHeight="1" x14ac:dyDescent="0.25">
      <c r="D13" s="174" t="s">
        <v>60</v>
      </c>
      <c r="E13" s="184" t="s">
        <v>191</v>
      </c>
      <c r="F13" s="178">
        <v>15</v>
      </c>
      <c r="G13" s="177">
        <v>4958</v>
      </c>
      <c r="H13" s="177">
        <v>4958</v>
      </c>
      <c r="I13" s="364">
        <f t="shared" si="0"/>
        <v>0</v>
      </c>
      <c r="J13" s="364">
        <f t="shared" si="1"/>
        <v>454.11</v>
      </c>
      <c r="K13" s="177">
        <f>H13-J13</f>
        <v>4503.8900000000003</v>
      </c>
      <c r="L13" s="177"/>
      <c r="O13" s="51"/>
      <c r="P13" s="52"/>
    </row>
    <row r="14" spans="2:17" ht="32.25" customHeight="1" x14ac:dyDescent="0.25">
      <c r="D14" s="250" t="s">
        <v>60</v>
      </c>
      <c r="E14" s="148" t="s">
        <v>146</v>
      </c>
      <c r="F14" s="175">
        <v>15</v>
      </c>
      <c r="G14" s="177">
        <v>4216</v>
      </c>
      <c r="H14" s="177">
        <f>G14</f>
        <v>4216</v>
      </c>
      <c r="I14" s="364">
        <f t="shared" si="0"/>
        <v>0</v>
      </c>
      <c r="J14" s="364">
        <f t="shared" si="1"/>
        <v>337.37</v>
      </c>
      <c r="K14" s="177">
        <f>H14-J14</f>
        <v>3878.63</v>
      </c>
      <c r="L14" s="177"/>
      <c r="O14" s="51">
        <v>7508</v>
      </c>
      <c r="P14" s="52">
        <f t="shared" si="2"/>
        <v>3754</v>
      </c>
    </row>
    <row r="15" spans="2:17" ht="27.95" customHeight="1" x14ac:dyDescent="0.25">
      <c r="D15" s="174" t="s">
        <v>60</v>
      </c>
      <c r="E15" s="180" t="s">
        <v>62</v>
      </c>
      <c r="F15" s="175">
        <v>15</v>
      </c>
      <c r="G15" s="177">
        <v>4577</v>
      </c>
      <c r="H15" s="177">
        <v>4577</v>
      </c>
      <c r="I15" s="364">
        <f t="shared" si="0"/>
        <v>0</v>
      </c>
      <c r="J15" s="364">
        <f t="shared" si="1"/>
        <v>392.99</v>
      </c>
      <c r="K15" s="177">
        <f>H15-J15</f>
        <v>4184.01</v>
      </c>
      <c r="L15" s="177"/>
      <c r="O15" s="51"/>
      <c r="P15" s="52"/>
    </row>
    <row r="16" spans="2:17" ht="27.95" customHeight="1" x14ac:dyDescent="0.25">
      <c r="D16" s="250" t="s">
        <v>60</v>
      </c>
      <c r="E16" s="175" t="s">
        <v>62</v>
      </c>
      <c r="F16" s="175">
        <v>15</v>
      </c>
      <c r="G16" s="177">
        <v>4577</v>
      </c>
      <c r="H16" s="177">
        <v>4577</v>
      </c>
      <c r="I16" s="364">
        <f t="shared" si="0"/>
        <v>0</v>
      </c>
      <c r="J16" s="364">
        <f t="shared" si="1"/>
        <v>392.99</v>
      </c>
      <c r="K16" s="177">
        <f t="shared" ref="K16:K24" si="3">H16-J16</f>
        <v>4184.01</v>
      </c>
      <c r="L16" s="177"/>
      <c r="O16" s="51">
        <v>7800</v>
      </c>
      <c r="P16" s="52">
        <f t="shared" si="2"/>
        <v>3900</v>
      </c>
    </row>
    <row r="17" spans="4:16" ht="27.95" customHeight="1" x14ac:dyDescent="0.25">
      <c r="D17" s="174" t="s">
        <v>60</v>
      </c>
      <c r="E17" s="180" t="s">
        <v>62</v>
      </c>
      <c r="F17" s="175">
        <v>15</v>
      </c>
      <c r="G17" s="177">
        <v>4577</v>
      </c>
      <c r="H17" s="177">
        <v>4577</v>
      </c>
      <c r="I17" s="364">
        <f t="shared" si="0"/>
        <v>0</v>
      </c>
      <c r="J17" s="364">
        <f t="shared" si="1"/>
        <v>392.99</v>
      </c>
      <c r="K17" s="177">
        <f t="shared" si="3"/>
        <v>4184.01</v>
      </c>
      <c r="L17" s="177"/>
      <c r="O17" s="51">
        <v>7800</v>
      </c>
      <c r="P17" s="52">
        <f t="shared" si="2"/>
        <v>3900</v>
      </c>
    </row>
    <row r="18" spans="4:16" ht="27.95" customHeight="1" x14ac:dyDescent="0.25">
      <c r="D18" s="250" t="s">
        <v>60</v>
      </c>
      <c r="E18" s="180" t="s">
        <v>62</v>
      </c>
      <c r="F18" s="178">
        <v>15</v>
      </c>
      <c r="G18" s="177">
        <v>4577</v>
      </c>
      <c r="H18" s="177">
        <v>4577</v>
      </c>
      <c r="I18" s="364">
        <f t="shared" si="0"/>
        <v>0</v>
      </c>
      <c r="J18" s="364">
        <f t="shared" si="1"/>
        <v>392.99</v>
      </c>
      <c r="K18" s="177">
        <f t="shared" si="3"/>
        <v>4184.01</v>
      </c>
      <c r="L18" s="177"/>
      <c r="O18" s="51">
        <v>7800</v>
      </c>
      <c r="P18" s="52">
        <f t="shared" si="2"/>
        <v>3900</v>
      </c>
    </row>
    <row r="19" spans="4:16" ht="27.95" customHeight="1" x14ac:dyDescent="0.25">
      <c r="D19" s="174" t="s">
        <v>60</v>
      </c>
      <c r="E19" s="180" t="s">
        <v>62</v>
      </c>
      <c r="F19" s="175">
        <v>15</v>
      </c>
      <c r="G19" s="177">
        <v>3758</v>
      </c>
      <c r="H19" s="177">
        <v>3758</v>
      </c>
      <c r="I19" s="364">
        <f t="shared" si="0"/>
        <v>0</v>
      </c>
      <c r="J19" s="364">
        <f t="shared" si="1"/>
        <v>287.54000000000002</v>
      </c>
      <c r="K19" s="177">
        <f>H19-J19</f>
        <v>3470.46</v>
      </c>
      <c r="L19" s="177"/>
      <c r="O19" s="51">
        <v>7800</v>
      </c>
      <c r="P19" s="52">
        <f t="shared" si="2"/>
        <v>3900</v>
      </c>
    </row>
    <row r="20" spans="4:16" ht="27.95" customHeight="1" x14ac:dyDescent="0.25">
      <c r="D20" s="250" t="s">
        <v>60</v>
      </c>
      <c r="E20" s="180" t="s">
        <v>62</v>
      </c>
      <c r="F20" s="175">
        <v>15</v>
      </c>
      <c r="G20" s="177">
        <v>3758</v>
      </c>
      <c r="H20" s="177">
        <v>3758</v>
      </c>
      <c r="I20" s="364">
        <f t="shared" si="0"/>
        <v>0</v>
      </c>
      <c r="J20" s="364">
        <f t="shared" si="1"/>
        <v>287.54000000000002</v>
      </c>
      <c r="K20" s="177">
        <f t="shared" si="3"/>
        <v>3470.46</v>
      </c>
      <c r="L20" s="177"/>
      <c r="O20" s="51">
        <v>7800</v>
      </c>
      <c r="P20" s="52">
        <f t="shared" si="2"/>
        <v>3900</v>
      </c>
    </row>
    <row r="21" spans="4:16" ht="27.95" customHeight="1" x14ac:dyDescent="0.25">
      <c r="D21" s="174" t="s">
        <v>60</v>
      </c>
      <c r="E21" s="179" t="s">
        <v>62</v>
      </c>
      <c r="F21" s="175">
        <v>15</v>
      </c>
      <c r="G21" s="177">
        <v>4577</v>
      </c>
      <c r="H21" s="177">
        <v>4577</v>
      </c>
      <c r="I21" s="364">
        <f t="shared" si="0"/>
        <v>0</v>
      </c>
      <c r="J21" s="364">
        <f t="shared" si="1"/>
        <v>392.99</v>
      </c>
      <c r="K21" s="177">
        <f t="shared" si="3"/>
        <v>4184.01</v>
      </c>
      <c r="L21" s="181"/>
      <c r="O21" s="51"/>
      <c r="P21" s="52"/>
    </row>
    <row r="22" spans="4:16" ht="27.95" customHeight="1" x14ac:dyDescent="0.25">
      <c r="D22" s="250" t="s">
        <v>60</v>
      </c>
      <c r="E22" s="178" t="s">
        <v>62</v>
      </c>
      <c r="F22" s="175">
        <v>15</v>
      </c>
      <c r="G22" s="177">
        <v>4577</v>
      </c>
      <c r="H22" s="177">
        <v>4577</v>
      </c>
      <c r="I22" s="364">
        <f t="shared" si="0"/>
        <v>0</v>
      </c>
      <c r="J22" s="364">
        <f t="shared" si="1"/>
        <v>392.99</v>
      </c>
      <c r="K22" s="177">
        <f>H22-J22</f>
        <v>4184.01</v>
      </c>
      <c r="L22" s="182"/>
      <c r="O22" s="51"/>
      <c r="P22" s="52"/>
    </row>
    <row r="23" spans="4:16" ht="27.95" customHeight="1" x14ac:dyDescent="0.25">
      <c r="D23" s="174" t="s">
        <v>60</v>
      </c>
      <c r="E23" s="178" t="s">
        <v>62</v>
      </c>
      <c r="F23" s="178">
        <v>15</v>
      </c>
      <c r="G23" s="177">
        <v>4577</v>
      </c>
      <c r="H23" s="177">
        <v>4577</v>
      </c>
      <c r="I23" s="364">
        <f t="shared" si="0"/>
        <v>0</v>
      </c>
      <c r="J23" s="364">
        <f t="shared" si="1"/>
        <v>392.99</v>
      </c>
      <c r="K23" s="177">
        <f t="shared" si="3"/>
        <v>4184.01</v>
      </c>
      <c r="L23" s="182"/>
      <c r="O23" s="51"/>
      <c r="P23" s="52"/>
    </row>
    <row r="24" spans="4:16" ht="27.95" customHeight="1" x14ac:dyDescent="0.25">
      <c r="D24" s="250" t="s">
        <v>60</v>
      </c>
      <c r="E24" s="178" t="s">
        <v>62</v>
      </c>
      <c r="F24" s="175">
        <v>15</v>
      </c>
      <c r="G24" s="177">
        <v>4577</v>
      </c>
      <c r="H24" s="177">
        <v>4577</v>
      </c>
      <c r="I24" s="364">
        <f t="shared" ref="I24:I35" si="4">IFERROR(IF(ROUND((((H24/F24*30.4)-VLOOKUP((H24/F24*30.4),TARIFA,1))*VLOOKUP((H24/F24*30.4),TARIFA,3)+VLOOKUP((H24/F24*30.4),TARIFA,2)-VLOOKUP((H24/F24*30.4),SUBSIDIO,2))/30.4*F24,2)&lt;0,ROUND(-(((H24/F24*30.4)-VLOOKUP((H24/F24*30.4),TARIFA,1))*VLOOKUP((H24/F24*30.4),TARIFA,3)+VLOOKUP((H24/F24*30.4),TARIFA,2)-VLOOKUP((H24/F24*30.4),SUBSIDIO,2))/30.4*F24,2),0),0)</f>
        <v>0</v>
      </c>
      <c r="J24" s="364">
        <f t="shared" ref="J24:J35" si="5">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</f>
        <v>392.99</v>
      </c>
      <c r="K24" s="177">
        <f t="shared" si="3"/>
        <v>4184.01</v>
      </c>
      <c r="L24" s="182"/>
      <c r="N24" s="15">
        <v>4237.95</v>
      </c>
      <c r="O24" s="51">
        <f>N24/15</f>
        <v>282.52999999999997</v>
      </c>
      <c r="P24" s="52"/>
    </row>
    <row r="25" spans="4:16" ht="27.95" customHeight="1" x14ac:dyDescent="0.25">
      <c r="D25" s="174" t="s">
        <v>60</v>
      </c>
      <c r="E25" s="178" t="s">
        <v>62</v>
      </c>
      <c r="F25" s="175">
        <v>15</v>
      </c>
      <c r="G25" s="177">
        <v>4577</v>
      </c>
      <c r="H25" s="177">
        <v>4577</v>
      </c>
      <c r="I25" s="364">
        <f t="shared" si="4"/>
        <v>0</v>
      </c>
      <c r="J25" s="364">
        <f t="shared" si="5"/>
        <v>392.99</v>
      </c>
      <c r="K25" s="177">
        <f>H25-J25</f>
        <v>4184.01</v>
      </c>
      <c r="L25" s="182"/>
      <c r="O25" s="51">
        <f>O24*13</f>
        <v>3672.8899999999994</v>
      </c>
      <c r="P25" s="52"/>
    </row>
    <row r="26" spans="4:16" ht="27.95" customHeight="1" x14ac:dyDescent="0.25">
      <c r="D26" s="250" t="s">
        <v>60</v>
      </c>
      <c r="E26" s="179" t="s">
        <v>62</v>
      </c>
      <c r="F26" s="175">
        <v>15</v>
      </c>
      <c r="G26" s="177">
        <v>4577</v>
      </c>
      <c r="H26" s="177">
        <v>4577</v>
      </c>
      <c r="I26" s="364">
        <f t="shared" si="4"/>
        <v>0</v>
      </c>
      <c r="J26" s="364">
        <f t="shared" si="5"/>
        <v>392.99</v>
      </c>
      <c r="K26" s="177">
        <f t="shared" ref="K26:K29" si="6">H26-J26</f>
        <v>4184.01</v>
      </c>
      <c r="L26" s="182"/>
      <c r="O26" s="51">
        <v>339.76</v>
      </c>
      <c r="P26" s="52"/>
    </row>
    <row r="27" spans="4:16" ht="27.95" customHeight="1" x14ac:dyDescent="0.25">
      <c r="D27" s="174" t="s">
        <v>60</v>
      </c>
      <c r="E27" s="178" t="s">
        <v>62</v>
      </c>
      <c r="F27" s="175">
        <v>15</v>
      </c>
      <c r="G27" s="177">
        <v>4577</v>
      </c>
      <c r="H27" s="177">
        <v>4577</v>
      </c>
      <c r="I27" s="364">
        <f t="shared" si="4"/>
        <v>0</v>
      </c>
      <c r="J27" s="364">
        <f t="shared" si="5"/>
        <v>392.99</v>
      </c>
      <c r="K27" s="177">
        <f t="shared" si="6"/>
        <v>4184.01</v>
      </c>
      <c r="L27" s="182"/>
      <c r="O27" s="51">
        <f>O26/15</f>
        <v>22.650666666666666</v>
      </c>
      <c r="P27" s="52"/>
    </row>
    <row r="28" spans="4:16" ht="27.95" customHeight="1" x14ac:dyDescent="0.25">
      <c r="D28" s="250" t="s">
        <v>60</v>
      </c>
      <c r="E28" s="178" t="s">
        <v>62</v>
      </c>
      <c r="F28" s="175">
        <v>15</v>
      </c>
      <c r="G28" s="177">
        <v>4577</v>
      </c>
      <c r="H28" s="177">
        <v>4577</v>
      </c>
      <c r="I28" s="364">
        <f t="shared" si="4"/>
        <v>0</v>
      </c>
      <c r="J28" s="364">
        <f t="shared" si="5"/>
        <v>392.99</v>
      </c>
      <c r="K28" s="177">
        <f t="shared" si="6"/>
        <v>4184.01</v>
      </c>
      <c r="L28" s="182"/>
      <c r="O28" s="51">
        <f>O27*13</f>
        <v>294.45866666666666</v>
      </c>
      <c r="P28" s="52"/>
    </row>
    <row r="29" spans="4:16" ht="27.95" customHeight="1" x14ac:dyDescent="0.25">
      <c r="D29" s="174" t="s">
        <v>60</v>
      </c>
      <c r="E29" s="178" t="s">
        <v>62</v>
      </c>
      <c r="F29" s="175">
        <v>15</v>
      </c>
      <c r="G29" s="177">
        <v>4577</v>
      </c>
      <c r="H29" s="177">
        <v>4577</v>
      </c>
      <c r="I29" s="364">
        <f t="shared" si="4"/>
        <v>0</v>
      </c>
      <c r="J29" s="364">
        <f t="shared" si="5"/>
        <v>392.99</v>
      </c>
      <c r="K29" s="177">
        <f t="shared" si="6"/>
        <v>4184.01</v>
      </c>
      <c r="L29" s="182"/>
      <c r="O29" s="51">
        <f>O25-O28</f>
        <v>3378.431333333333</v>
      </c>
      <c r="P29" s="52"/>
    </row>
    <row r="30" spans="4:16" ht="27.95" customHeight="1" x14ac:dyDescent="0.25">
      <c r="D30" s="250" t="s">
        <v>60</v>
      </c>
      <c r="E30" s="178" t="s">
        <v>62</v>
      </c>
      <c r="F30" s="175">
        <v>15</v>
      </c>
      <c r="G30" s="177">
        <v>4577</v>
      </c>
      <c r="H30" s="177">
        <v>4577</v>
      </c>
      <c r="I30" s="364">
        <f t="shared" si="4"/>
        <v>0</v>
      </c>
      <c r="J30" s="364">
        <f t="shared" si="5"/>
        <v>392.99</v>
      </c>
      <c r="K30" s="177">
        <f>H30-J30</f>
        <v>4184.01</v>
      </c>
      <c r="L30" s="182"/>
      <c r="O30" s="51"/>
      <c r="P30" s="52"/>
    </row>
    <row r="31" spans="4:16" ht="27.95" customHeight="1" x14ac:dyDescent="0.25">
      <c r="D31" s="174" t="s">
        <v>60</v>
      </c>
      <c r="E31" s="178" t="s">
        <v>62</v>
      </c>
      <c r="F31" s="175">
        <v>15</v>
      </c>
      <c r="G31" s="177">
        <v>4577</v>
      </c>
      <c r="H31" s="177">
        <v>4577</v>
      </c>
      <c r="I31" s="364">
        <f t="shared" si="4"/>
        <v>0</v>
      </c>
      <c r="J31" s="364">
        <f t="shared" si="5"/>
        <v>392.99</v>
      </c>
      <c r="K31" s="177">
        <f>H31-J31</f>
        <v>4184.01</v>
      </c>
      <c r="L31" s="182"/>
      <c r="O31" s="51"/>
      <c r="P31" s="52"/>
    </row>
    <row r="32" spans="4:16" ht="27.95" customHeight="1" x14ac:dyDescent="0.25">
      <c r="D32" s="250" t="s">
        <v>60</v>
      </c>
      <c r="E32" s="178" t="s">
        <v>62</v>
      </c>
      <c r="F32" s="175">
        <v>15</v>
      </c>
      <c r="G32" s="177">
        <v>4577</v>
      </c>
      <c r="H32" s="177">
        <v>4577</v>
      </c>
      <c r="I32" s="364">
        <f t="shared" si="4"/>
        <v>0</v>
      </c>
      <c r="J32" s="364">
        <f t="shared" si="5"/>
        <v>392.99</v>
      </c>
      <c r="K32" s="177">
        <f t="shared" ref="K32" si="7">H32-J32</f>
        <v>4184.01</v>
      </c>
      <c r="L32" s="182"/>
      <c r="O32" s="51"/>
      <c r="P32" s="52"/>
    </row>
    <row r="33" spans="4:16" ht="27.95" customHeight="1" x14ac:dyDescent="0.25">
      <c r="D33" s="174" t="s">
        <v>60</v>
      </c>
      <c r="E33" s="178" t="s">
        <v>62</v>
      </c>
      <c r="F33" s="175">
        <v>15</v>
      </c>
      <c r="G33" s="177">
        <v>4577</v>
      </c>
      <c r="H33" s="177">
        <v>4577</v>
      </c>
      <c r="I33" s="364">
        <f t="shared" si="4"/>
        <v>0</v>
      </c>
      <c r="J33" s="364">
        <f t="shared" si="5"/>
        <v>392.99</v>
      </c>
      <c r="K33" s="177">
        <f>H33-J33</f>
        <v>4184.01</v>
      </c>
      <c r="L33" s="182"/>
      <c r="O33" s="51"/>
      <c r="P33" s="52"/>
    </row>
    <row r="34" spans="4:16" ht="27.95" customHeight="1" x14ac:dyDescent="0.25">
      <c r="D34" s="250" t="s">
        <v>60</v>
      </c>
      <c r="E34" s="178" t="s">
        <v>62</v>
      </c>
      <c r="F34" s="175">
        <v>15</v>
      </c>
      <c r="G34" s="177">
        <v>4577</v>
      </c>
      <c r="H34" s="177">
        <v>4577</v>
      </c>
      <c r="I34" s="364">
        <f t="shared" si="4"/>
        <v>0</v>
      </c>
      <c r="J34" s="364">
        <f t="shared" si="5"/>
        <v>392.99</v>
      </c>
      <c r="K34" s="177">
        <f>H34-J34</f>
        <v>4184.01</v>
      </c>
      <c r="L34" s="182"/>
      <c r="O34" s="51"/>
      <c r="P34" s="52"/>
    </row>
    <row r="35" spans="4:16" ht="27.95" customHeight="1" x14ac:dyDescent="0.25">
      <c r="D35" s="174" t="s">
        <v>60</v>
      </c>
      <c r="E35" s="178" t="s">
        <v>62</v>
      </c>
      <c r="F35" s="175">
        <v>15</v>
      </c>
      <c r="G35" s="177">
        <v>4577</v>
      </c>
      <c r="H35" s="177">
        <v>4577</v>
      </c>
      <c r="I35" s="364">
        <f t="shared" si="4"/>
        <v>0</v>
      </c>
      <c r="J35" s="364">
        <f t="shared" si="5"/>
        <v>392.99</v>
      </c>
      <c r="K35" s="177">
        <f>H35-J35</f>
        <v>4184.01</v>
      </c>
      <c r="L35" s="182"/>
      <c r="O35" s="51"/>
      <c r="P35" s="52"/>
    </row>
    <row r="36" spans="4:16" ht="27.95" customHeight="1" x14ac:dyDescent="0.25">
      <c r="D36" s="179"/>
      <c r="E36" s="178"/>
      <c r="F36" s="175"/>
      <c r="G36" s="177"/>
      <c r="H36" s="177"/>
      <c r="I36" s="364"/>
      <c r="J36" s="364"/>
      <c r="K36" s="177"/>
      <c r="L36" s="367"/>
      <c r="O36" s="51"/>
      <c r="P36" s="52"/>
    </row>
    <row r="37" spans="4:16" ht="27.95" customHeight="1" x14ac:dyDescent="0.25">
      <c r="D37" s="179"/>
      <c r="E37" s="178"/>
      <c r="F37" s="175"/>
      <c r="G37" s="177"/>
      <c r="H37" s="177"/>
      <c r="I37" s="364"/>
      <c r="J37" s="364"/>
      <c r="K37" s="177"/>
      <c r="L37" s="267"/>
      <c r="O37" s="51"/>
      <c r="P37" s="52"/>
    </row>
    <row r="38" spans="4:16" ht="12" customHeight="1" x14ac:dyDescent="0.2">
      <c r="D38" s="20"/>
      <c r="E38" s="20"/>
      <c r="F38" s="20"/>
      <c r="G38" s="24"/>
      <c r="H38" s="26"/>
      <c r="I38" s="26"/>
      <c r="J38" s="26"/>
      <c r="K38" s="26"/>
      <c r="L38" s="26"/>
      <c r="O38" s="51"/>
    </row>
    <row r="39" spans="4:16" ht="26.1" customHeight="1" thickBot="1" x14ac:dyDescent="0.3">
      <c r="D39" s="398"/>
      <c r="E39" s="398"/>
      <c r="F39" s="365"/>
      <c r="G39" s="366">
        <f>SUM(G11:G37)</f>
        <v>116657</v>
      </c>
      <c r="H39" s="189">
        <f>SUM(H11:H37)</f>
        <v>116657</v>
      </c>
      <c r="I39" s="189">
        <f>SUM(I11:I37)</f>
        <v>0</v>
      </c>
      <c r="J39" s="189">
        <f>SUM(J11:J37)</f>
        <v>10367.889999999996</v>
      </c>
      <c r="K39" s="189">
        <f>SUM(K11:K37)</f>
        <v>106289.10999999997</v>
      </c>
      <c r="L39" s="45"/>
      <c r="O39" s="51"/>
      <c r="P39" s="52">
        <f>SUM(P11:P38)</f>
        <v>34254</v>
      </c>
    </row>
    <row r="40" spans="4:16" ht="13.5" thickTop="1" x14ac:dyDescent="0.2">
      <c r="G40" s="46"/>
      <c r="O40" s="51"/>
    </row>
    <row r="41" spans="4:16" x14ac:dyDescent="0.2">
      <c r="O41" s="51"/>
    </row>
    <row r="42" spans="4:16" x14ac:dyDescent="0.2">
      <c r="O42" s="51"/>
    </row>
    <row r="43" spans="4:16" x14ac:dyDescent="0.2">
      <c r="D43" s="30" t="s">
        <v>121</v>
      </c>
      <c r="G43" s="30"/>
      <c r="H43" s="30"/>
      <c r="I43" s="30"/>
      <c r="J43" s="30"/>
      <c r="K43" s="62"/>
      <c r="L43" s="62"/>
      <c r="O43" s="51"/>
    </row>
    <row r="44" spans="4:16" x14ac:dyDescent="0.2">
      <c r="D44" s="29" t="s">
        <v>192</v>
      </c>
      <c r="K44" s="409" t="s">
        <v>190</v>
      </c>
      <c r="L44" s="409"/>
      <c r="O44" s="51"/>
    </row>
    <row r="45" spans="4:16" x14ac:dyDescent="0.2">
      <c r="D45" s="30" t="s">
        <v>9</v>
      </c>
      <c r="E45" s="30"/>
      <c r="F45" s="30"/>
      <c r="G45" s="30"/>
      <c r="H45" s="30"/>
      <c r="I45" s="30"/>
      <c r="J45" s="30"/>
      <c r="K45" s="410" t="s">
        <v>162</v>
      </c>
      <c r="L45" s="410"/>
      <c r="O45" s="51"/>
    </row>
    <row r="46" spans="4:16" x14ac:dyDescent="0.2">
      <c r="L46" s="51"/>
      <c r="O46" s="51"/>
    </row>
    <row r="47" spans="4:16" x14ac:dyDescent="0.2">
      <c r="L47" s="51"/>
    </row>
    <row r="48" spans="4:16" x14ac:dyDescent="0.2">
      <c r="L48" s="51"/>
    </row>
    <row r="49" spans="4:16" x14ac:dyDescent="0.2">
      <c r="L49" s="51"/>
    </row>
    <row r="50" spans="4:16" ht="18" x14ac:dyDescent="0.25">
      <c r="D50" s="440"/>
      <c r="E50" s="440"/>
      <c r="F50" s="440"/>
      <c r="G50" s="440"/>
      <c r="H50" s="440"/>
      <c r="I50" s="440"/>
      <c r="J50" s="440"/>
      <c r="K50" s="440"/>
      <c r="L50" s="440"/>
    </row>
    <row r="51" spans="4:16" ht="35.1" customHeight="1" x14ac:dyDescent="0.5">
      <c r="D51" s="435"/>
      <c r="E51" s="435"/>
      <c r="F51" s="435"/>
      <c r="G51" s="435"/>
      <c r="H51" s="435"/>
      <c r="I51" s="435"/>
      <c r="J51" s="435"/>
      <c r="K51" s="435"/>
      <c r="L51" s="436"/>
    </row>
    <row r="52" spans="4:16" ht="24.75" customHeight="1" x14ac:dyDescent="0.5">
      <c r="D52" s="430"/>
      <c r="E52" s="430"/>
      <c r="F52" s="430"/>
      <c r="G52" s="430"/>
      <c r="H52" s="430"/>
      <c r="I52" s="430"/>
      <c r="J52" s="430"/>
      <c r="K52" s="430"/>
      <c r="L52" s="431"/>
    </row>
    <row r="53" spans="4:16" ht="28.5" customHeight="1" x14ac:dyDescent="0.5">
      <c r="D53" s="438"/>
      <c r="E53" s="438"/>
      <c r="F53" s="438"/>
      <c r="G53" s="438"/>
      <c r="H53" s="438"/>
      <c r="I53" s="438"/>
      <c r="J53" s="438"/>
      <c r="K53" s="438"/>
      <c r="L53" s="439"/>
    </row>
    <row r="54" spans="4:16" x14ac:dyDescent="0.2">
      <c r="D54" s="119"/>
      <c r="E54" s="119"/>
      <c r="F54" s="138"/>
      <c r="G54" s="120"/>
      <c r="H54" s="432"/>
      <c r="I54" s="433"/>
      <c r="J54" s="433"/>
      <c r="K54" s="433"/>
      <c r="L54" s="434"/>
    </row>
    <row r="55" spans="4:16" x14ac:dyDescent="0.2">
      <c r="D55" s="121"/>
      <c r="E55" s="121"/>
      <c r="F55" s="121"/>
      <c r="G55" s="122" t="s">
        <v>1</v>
      </c>
      <c r="H55" s="123" t="s">
        <v>152</v>
      </c>
      <c r="I55" s="123" t="s">
        <v>155</v>
      </c>
      <c r="J55" s="123"/>
      <c r="K55" s="121" t="s">
        <v>161</v>
      </c>
      <c r="L55" s="121"/>
    </row>
    <row r="56" spans="4:16" x14ac:dyDescent="0.2">
      <c r="D56" s="122"/>
      <c r="E56" s="122" t="s">
        <v>8</v>
      </c>
      <c r="F56" s="121"/>
      <c r="G56" s="121" t="s">
        <v>153</v>
      </c>
      <c r="H56" s="122" t="s">
        <v>154</v>
      </c>
      <c r="I56" s="122" t="s">
        <v>156</v>
      </c>
      <c r="J56" s="122" t="s">
        <v>157</v>
      </c>
      <c r="K56" s="121" t="s">
        <v>160</v>
      </c>
      <c r="L56" s="121" t="s">
        <v>159</v>
      </c>
    </row>
    <row r="57" spans="4:16" x14ac:dyDescent="0.2">
      <c r="D57" s="123" t="s">
        <v>270</v>
      </c>
      <c r="E57" s="123" t="s">
        <v>7</v>
      </c>
      <c r="F57" s="123" t="s">
        <v>165</v>
      </c>
      <c r="G57" s="123"/>
      <c r="H57" s="123"/>
      <c r="I57" s="123"/>
      <c r="J57" s="123"/>
      <c r="K57" s="123"/>
      <c r="L57" s="123"/>
    </row>
    <row r="58" spans="4:16" x14ac:dyDescent="0.2">
      <c r="E58" s="89"/>
      <c r="F58" s="89"/>
      <c r="G58" s="89"/>
      <c r="H58" s="89"/>
      <c r="I58" s="89"/>
      <c r="J58" s="89"/>
      <c r="K58" s="89"/>
      <c r="L58" s="89"/>
    </row>
    <row r="59" spans="4:16" ht="15" customHeight="1" x14ac:dyDescent="0.25">
      <c r="D59" s="185"/>
      <c r="E59" s="175"/>
      <c r="F59" s="175"/>
      <c r="G59" s="176"/>
      <c r="H59" s="177"/>
      <c r="I59" s="177"/>
      <c r="J59" s="177"/>
      <c r="K59" s="177"/>
      <c r="L59" s="19"/>
      <c r="O59" s="51">
        <v>6770</v>
      </c>
      <c r="P59" s="52">
        <f>O59/2</f>
        <v>3385</v>
      </c>
    </row>
    <row r="60" spans="4:16" ht="39.950000000000003" customHeight="1" x14ac:dyDescent="0.25">
      <c r="D60" s="175" t="s">
        <v>124</v>
      </c>
      <c r="E60" s="175" t="s">
        <v>125</v>
      </c>
      <c r="F60" s="175">
        <v>15</v>
      </c>
      <c r="G60" s="177">
        <v>3771</v>
      </c>
      <c r="H60" s="177">
        <v>3771</v>
      </c>
      <c r="I60" s="364">
        <f>IFERROR(IF(ROUND((((H60/F60*30.4)-VLOOKUP((H60/F60*30.4),TARIFA,1))*VLOOKUP((H60/F60*30.4),TARIFA,3)+VLOOKUP((H60/F60*30.4),TARIFA,2)-VLOOKUP((H60/F60*30.4),SUBSIDIO,2))/30.4*F60,2)&lt;0,ROUND(-(((H60/F60*30.4)-VLOOKUP((H60/F60*30.4),TARIFA,1))*VLOOKUP((H60/F60*30.4),TARIFA,3)+VLOOKUP((H60/F60*30.4),TARIFA,2)-VLOOKUP((H60/F60*30.4),SUBSIDIO,2))/30.4*F60,2),0),0)</f>
        <v>0</v>
      </c>
      <c r="J60" s="364">
        <f>IFERROR(IF(ROUND((((H60/F60*30.4)-VLOOKUP((H60/F60*30.4),TARIFA,1))*VLOOKUP((H60/F60*30.4),TARIFA,3)+VLOOKUP((H60/F60*30.4),TARIFA,2)-VLOOKUP((H60/F60*30.4),SUBSIDIO,2))/30.4*F60,2)&gt;0,ROUND((((H60/F60*30.4)-VLOOKUP((H60/F60*30.4),TARIFA,1))*VLOOKUP((H60/F60*30.4),TARIFA,3)+VLOOKUP((H60/F60*30.4),TARIFA,2)-VLOOKUP((H60/F60*30.4),SUBSIDIO,2))/30.4*F60,2),0),0)</f>
        <v>288.95</v>
      </c>
      <c r="K60" s="177">
        <f>H60-J60</f>
        <v>3482.05</v>
      </c>
      <c r="L60" s="19"/>
      <c r="O60" s="51"/>
      <c r="P60" s="52"/>
    </row>
    <row r="61" spans="4:16" ht="39.950000000000003" customHeight="1" x14ac:dyDescent="0.25">
      <c r="D61" s="175" t="s">
        <v>126</v>
      </c>
      <c r="E61" s="175" t="s">
        <v>127</v>
      </c>
      <c r="F61" s="175">
        <v>15</v>
      </c>
      <c r="G61" s="177">
        <v>3771</v>
      </c>
      <c r="H61" s="177">
        <v>3771</v>
      </c>
      <c r="I61" s="364">
        <f>IFERROR(IF(ROUND((((H61/F61*30.4)-VLOOKUP((H61/F61*30.4),TARIFA,1))*VLOOKUP((H61/F61*30.4),TARIFA,3)+VLOOKUP((H61/F61*30.4),TARIFA,2)-VLOOKUP((H61/F61*30.4),SUBSIDIO,2))/30.4*F61,2)&lt;0,ROUND(-(((H61/F61*30.4)-VLOOKUP((H61/F61*30.4),TARIFA,1))*VLOOKUP((H61/F61*30.4),TARIFA,3)+VLOOKUP((H61/F61*30.4),TARIFA,2)-VLOOKUP((H61/F61*30.4),SUBSIDIO,2))/30.4*F61,2),0),0)</f>
        <v>0</v>
      </c>
      <c r="J61" s="364">
        <f>IFERROR(IF(ROUND((((H61/F61*30.4)-VLOOKUP((H61/F61*30.4),TARIFA,1))*VLOOKUP((H61/F61*30.4),TARIFA,3)+VLOOKUP((H61/F61*30.4),TARIFA,2)-VLOOKUP((H61/F61*30.4),SUBSIDIO,2))/30.4*F61,2)&gt;0,ROUND((((H61/F61*30.4)-VLOOKUP((H61/F61*30.4),TARIFA,1))*VLOOKUP((H61/F61*30.4),TARIFA,3)+VLOOKUP((H61/F61*30.4),TARIFA,2)-VLOOKUP((H61/F61*30.4),SUBSIDIO,2))/30.4*F61,2),0),0)</f>
        <v>288.95</v>
      </c>
      <c r="K61" s="177">
        <f>H61-J61</f>
        <v>3482.05</v>
      </c>
      <c r="L61" s="19"/>
      <c r="O61" s="51">
        <v>6770</v>
      </c>
      <c r="P61" s="52">
        <f>O61/2</f>
        <v>3385</v>
      </c>
    </row>
    <row r="62" spans="4:16" ht="39.950000000000003" customHeight="1" x14ac:dyDescent="0.25">
      <c r="D62" s="175" t="s">
        <v>234</v>
      </c>
      <c r="E62" s="175" t="s">
        <v>127</v>
      </c>
      <c r="F62" s="175">
        <v>15</v>
      </c>
      <c r="G62" s="177">
        <v>3060</v>
      </c>
      <c r="H62" s="177">
        <f>G62</f>
        <v>3060</v>
      </c>
      <c r="I62" s="364">
        <f>IFERROR(IF(ROUND((((H62/F62*30.4)-VLOOKUP((H62/F62*30.4),TARIFA,1))*VLOOKUP((H62/F62*30.4),TARIFA,3)+VLOOKUP((H62/F62*30.4),TARIFA,2)-VLOOKUP((H62/F62*30.4),SUBSIDIO,2))/30.4*F62,2)&lt;0,ROUND(-(((H62/F62*30.4)-VLOOKUP((H62/F62*30.4),TARIFA,1))*VLOOKUP((H62/F62*30.4),TARIFA,3)+VLOOKUP((H62/F62*30.4),TARIFA,2)-VLOOKUP((H62/F62*30.4),SUBSIDIO,2))/30.4*F62,2),0),0)</f>
        <v>0</v>
      </c>
      <c r="J62" s="364">
        <f>IFERROR(IF(ROUND((((H62/F62*30.4)-VLOOKUP((H62/F62*30.4),TARIFA,1))*VLOOKUP((H62/F62*30.4),TARIFA,3)+VLOOKUP((H62/F62*30.4),TARIFA,2)-VLOOKUP((H62/F62*30.4),SUBSIDIO,2))/30.4*F62,2)&gt;0,ROUND((((H62/F62*30.4)-VLOOKUP((H62/F62*30.4),TARIFA,1))*VLOOKUP((H62/F62*30.4),TARIFA,3)+VLOOKUP((H62/F62*30.4),TARIFA,2)-VLOOKUP((H62/F62*30.4),SUBSIDIO,2))/30.4*F62,2),0),0)</f>
        <v>66.22</v>
      </c>
      <c r="K62" s="177">
        <f>H62-J62</f>
        <v>2993.78</v>
      </c>
      <c r="L62" s="19"/>
      <c r="O62" s="51">
        <v>4170</v>
      </c>
      <c r="P62" s="52">
        <f>O62/2</f>
        <v>2085</v>
      </c>
    </row>
    <row r="63" spans="4:16" ht="39.950000000000003" customHeight="1" x14ac:dyDescent="0.25">
      <c r="D63" s="175" t="s">
        <v>174</v>
      </c>
      <c r="E63" s="175" t="s">
        <v>36</v>
      </c>
      <c r="F63" s="175">
        <v>15</v>
      </c>
      <c r="G63" s="177">
        <v>3060</v>
      </c>
      <c r="H63" s="177">
        <f>G63</f>
        <v>3060</v>
      </c>
      <c r="I63" s="364">
        <f>IFERROR(IF(ROUND((((H63/F63*30.4)-VLOOKUP((H63/F63*30.4),TARIFA,1))*VLOOKUP((H63/F63*30.4),TARIFA,3)+VLOOKUP((H63/F63*30.4),TARIFA,2)-VLOOKUP((H63/F63*30.4),SUBSIDIO,2))/30.4*F63,2)&lt;0,ROUND(-(((H63/F63*30.4)-VLOOKUP((H63/F63*30.4),TARIFA,1))*VLOOKUP((H63/F63*30.4),TARIFA,3)+VLOOKUP((H63/F63*30.4),TARIFA,2)-VLOOKUP((H63/F63*30.4),SUBSIDIO,2))/30.4*F63,2),0),0)</f>
        <v>0</v>
      </c>
      <c r="J63" s="364">
        <f>IFERROR(IF(ROUND((((H63/F63*30.4)-VLOOKUP((H63/F63*30.4),TARIFA,1))*VLOOKUP((H63/F63*30.4),TARIFA,3)+VLOOKUP((H63/F63*30.4),TARIFA,2)-VLOOKUP((H63/F63*30.4),SUBSIDIO,2))/30.4*F63,2)&gt;0,ROUND((((H63/F63*30.4)-VLOOKUP((H63/F63*30.4),TARIFA,1))*VLOOKUP((H63/F63*30.4),TARIFA,3)+VLOOKUP((H63/F63*30.4),TARIFA,2)-VLOOKUP((H63/F63*30.4),SUBSIDIO,2))/30.4*F63,2),0),0)</f>
        <v>66.22</v>
      </c>
      <c r="K63" s="177">
        <f>H63-J63</f>
        <v>2993.78</v>
      </c>
      <c r="L63" s="19"/>
      <c r="O63" s="51">
        <v>4170</v>
      </c>
      <c r="P63" s="52">
        <f>O63/2</f>
        <v>2085</v>
      </c>
    </row>
    <row r="64" spans="4:16" ht="39.950000000000003" customHeight="1" x14ac:dyDescent="0.25">
      <c r="D64" s="269" t="s">
        <v>335</v>
      </c>
      <c r="E64" s="264" t="s">
        <v>127</v>
      </c>
      <c r="F64" s="265">
        <v>15</v>
      </c>
      <c r="G64" s="263">
        <v>3758</v>
      </c>
      <c r="H64" s="267">
        <v>3758</v>
      </c>
      <c r="I64" s="387">
        <v>0</v>
      </c>
      <c r="J64" s="364">
        <f>IFERROR(IF(ROUND((((H64/F64*30.4)-VLOOKUP((H64/F64*30.4),TARIFA,1))*VLOOKUP((H64/F64*30.4),TARIFA,3)+VLOOKUP((H64/F64*30.4),TARIFA,2)-VLOOKUP((H64/F64*30.4),SUBSIDIO,2))/30.4*F64,2)&gt;0,ROUND((((H64/F64*30.4)-VLOOKUP((H64/F64*30.4),TARIFA,1))*VLOOKUP((H64/F64*30.4),TARIFA,3)+VLOOKUP((H64/F64*30.4),TARIFA,2)-VLOOKUP((H64/F64*30.4),SUBSIDIO,2))/30.4*F64,2),0),0)</f>
        <v>287.54000000000002</v>
      </c>
      <c r="K64" s="177">
        <f>H64-J64</f>
        <v>3470.46</v>
      </c>
      <c r="L64" s="78"/>
      <c r="M64" s="88"/>
      <c r="O64" s="51"/>
      <c r="P64" s="52"/>
    </row>
    <row r="65" spans="4:13" ht="50.1" customHeight="1" x14ac:dyDescent="0.25">
      <c r="D65" s="268"/>
      <c r="E65" s="268"/>
      <c r="F65" s="186"/>
      <c r="G65" s="266"/>
      <c r="H65" s="270"/>
      <c r="I65" s="271"/>
      <c r="J65" s="271"/>
      <c r="K65" s="271"/>
      <c r="M65" s="88"/>
    </row>
    <row r="66" spans="4:13" ht="33.75" customHeight="1" thickBot="1" x14ac:dyDescent="0.3">
      <c r="D66" s="437"/>
      <c r="E66" s="437"/>
      <c r="F66" s="187"/>
      <c r="G66" s="188">
        <f>SUM(G59:G65)</f>
        <v>17420</v>
      </c>
      <c r="H66" s="188">
        <f>SUM(H59:H65)</f>
        <v>17420</v>
      </c>
      <c r="I66" s="188">
        <f>SUM(I59:I65)</f>
        <v>0</v>
      </c>
      <c r="J66" s="188">
        <f>SUM(J59:J65)</f>
        <v>997.88000000000011</v>
      </c>
      <c r="K66" s="188">
        <f>SUM(K59:K65)</f>
        <v>16422.120000000003</v>
      </c>
      <c r="L66" s="27"/>
    </row>
    <row r="67" spans="4:13" ht="13.5" thickTop="1" x14ac:dyDescent="0.2"/>
    <row r="74" spans="4:13" x14ac:dyDescent="0.2">
      <c r="D74" s="30" t="s">
        <v>121</v>
      </c>
      <c r="G74" s="30"/>
      <c r="H74" s="30"/>
      <c r="I74" s="30"/>
      <c r="J74" s="30"/>
      <c r="K74" s="62"/>
      <c r="L74" s="62"/>
    </row>
    <row r="75" spans="4:13" ht="24.95" customHeight="1" x14ac:dyDescent="0.2">
      <c r="D75" s="29" t="s">
        <v>192</v>
      </c>
      <c r="K75" s="409" t="s">
        <v>230</v>
      </c>
      <c r="L75" s="409"/>
    </row>
    <row r="76" spans="4:13" x14ac:dyDescent="0.2">
      <c r="D76" s="30" t="s">
        <v>9</v>
      </c>
      <c r="E76" s="30"/>
      <c r="F76" s="30"/>
      <c r="G76" s="30"/>
      <c r="H76" s="30"/>
      <c r="I76" s="30"/>
      <c r="J76" s="30"/>
      <c r="K76" s="410" t="s">
        <v>162</v>
      </c>
      <c r="L76" s="410"/>
    </row>
    <row r="79" spans="4:13" ht="24.95" customHeight="1" x14ac:dyDescent="0.2">
      <c r="D79" s="37"/>
      <c r="E79" s="37"/>
      <c r="F79" s="37"/>
      <c r="G79" s="37"/>
      <c r="H79" s="37"/>
      <c r="I79" s="37"/>
      <c r="J79" s="37"/>
      <c r="K79" s="37"/>
      <c r="L79" s="37"/>
    </row>
    <row r="80" spans="4:13" ht="24.95" customHeight="1" x14ac:dyDescent="0.2">
      <c r="D80" s="38"/>
      <c r="E80" s="37"/>
      <c r="F80" s="37"/>
      <c r="G80" s="38"/>
      <c r="H80" s="38"/>
      <c r="I80" s="38"/>
      <c r="J80" s="38"/>
      <c r="K80" s="38"/>
      <c r="L80" s="38"/>
    </row>
    <row r="81" spans="4:12" x14ac:dyDescent="0.2">
      <c r="D81" s="21"/>
      <c r="E81" s="37"/>
      <c r="F81" s="37"/>
      <c r="G81" s="37"/>
      <c r="H81" s="37"/>
      <c r="I81" s="37"/>
      <c r="J81" s="37"/>
      <c r="K81" s="37"/>
      <c r="L81" s="37"/>
    </row>
    <row r="82" spans="4:12" x14ac:dyDescent="0.2">
      <c r="D82" s="32"/>
      <c r="E82" s="30"/>
      <c r="F82" s="30"/>
      <c r="G82" s="30"/>
      <c r="H82" s="30"/>
      <c r="I82" s="30"/>
      <c r="J82" s="30"/>
      <c r="K82" s="30"/>
      <c r="L82" s="30"/>
    </row>
  </sheetData>
  <sheetProtection selectLockedCells="1" selectUnlockedCells="1"/>
  <mergeCells count="16">
    <mergeCell ref="K44:L44"/>
    <mergeCell ref="H54:L54"/>
    <mergeCell ref="K76:L76"/>
    <mergeCell ref="K45:L45"/>
    <mergeCell ref="D4:L4"/>
    <mergeCell ref="D51:L51"/>
    <mergeCell ref="D52:L52"/>
    <mergeCell ref="D66:E66"/>
    <mergeCell ref="K75:L75"/>
    <mergeCell ref="D53:L53"/>
    <mergeCell ref="D50:L50"/>
    <mergeCell ref="D3:L3"/>
    <mergeCell ref="D5:L5"/>
    <mergeCell ref="H7:L7"/>
    <mergeCell ref="D6:L6"/>
    <mergeCell ref="D39:E3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K34"/>
  <sheetViews>
    <sheetView topLeftCell="C1" workbookViewId="0">
      <selection activeCell="C12" sqref="C12"/>
    </sheetView>
  </sheetViews>
  <sheetFormatPr baseColWidth="10" defaultRowHeight="12.75" x14ac:dyDescent="0.2"/>
  <cols>
    <col min="1" max="2" width="0" hidden="1" customWidth="1"/>
    <col min="3" max="3" width="42.85546875" customWidth="1"/>
    <col min="4" max="4" width="36.28515625" customWidth="1"/>
    <col min="5" max="5" width="7" customWidth="1"/>
    <col min="6" max="6" width="11.140625" customWidth="1"/>
    <col min="7" max="7" width="7.5703125" customWidth="1"/>
    <col min="8" max="8" width="11.42578125" customWidth="1"/>
    <col min="9" max="9" width="73.5703125" customWidth="1"/>
  </cols>
  <sheetData>
    <row r="2" spans="3:11" x14ac:dyDescent="0.2">
      <c r="C2" s="13"/>
      <c r="D2" s="13"/>
      <c r="E2" s="13"/>
      <c r="F2" s="13"/>
      <c r="G2" s="13"/>
      <c r="H2" s="13"/>
      <c r="I2" s="13"/>
    </row>
    <row r="3" spans="3:11" ht="19.5" x14ac:dyDescent="0.25">
      <c r="C3" s="442"/>
      <c r="D3" s="442"/>
      <c r="E3" s="442"/>
      <c r="F3" s="442"/>
      <c r="G3" s="442"/>
      <c r="H3" s="442"/>
      <c r="I3" s="443"/>
    </row>
    <row r="4" spans="3:11" ht="19.5" hidden="1" x14ac:dyDescent="0.25">
      <c r="C4" s="444"/>
      <c r="D4" s="444"/>
      <c r="E4" s="444"/>
      <c r="F4" s="444"/>
      <c r="G4" s="444"/>
      <c r="H4" s="444"/>
      <c r="I4" s="445"/>
    </row>
    <row r="5" spans="3:11" ht="19.5" x14ac:dyDescent="0.25">
      <c r="C5" s="444"/>
      <c r="D5" s="444"/>
      <c r="E5" s="444"/>
      <c r="F5" s="444"/>
      <c r="G5" s="444"/>
      <c r="H5" s="444"/>
      <c r="I5" s="445"/>
    </row>
    <row r="6" spans="3:11" ht="19.5" x14ac:dyDescent="0.25">
      <c r="C6" s="444"/>
      <c r="D6" s="444"/>
      <c r="E6" s="444"/>
      <c r="F6" s="444"/>
      <c r="G6" s="444"/>
      <c r="H6" s="444"/>
      <c r="I6" s="445"/>
    </row>
    <row r="7" spans="3:11" x14ac:dyDescent="0.2">
      <c r="C7" s="108"/>
      <c r="D7" s="108"/>
      <c r="E7" s="109"/>
      <c r="F7" s="422" t="s">
        <v>0</v>
      </c>
      <c r="G7" s="424"/>
      <c r="H7" s="110"/>
      <c r="I7" s="118"/>
    </row>
    <row r="8" spans="3:11" x14ac:dyDescent="0.2">
      <c r="C8" s="109"/>
      <c r="D8" s="109"/>
      <c r="E8" s="109"/>
      <c r="F8" s="113" t="s">
        <v>1</v>
      </c>
      <c r="G8" s="113"/>
      <c r="H8" s="110" t="s">
        <v>152</v>
      </c>
      <c r="I8" s="109" t="s">
        <v>163</v>
      </c>
    </row>
    <row r="9" spans="3:11" ht="15" x14ac:dyDescent="0.25">
      <c r="C9" s="115" t="s">
        <v>166</v>
      </c>
      <c r="D9" s="115" t="s">
        <v>167</v>
      </c>
      <c r="E9" s="109" t="s">
        <v>165</v>
      </c>
      <c r="F9" s="109" t="s">
        <v>6</v>
      </c>
      <c r="G9" s="109"/>
      <c r="H9" s="109" t="s">
        <v>154</v>
      </c>
      <c r="I9" s="109"/>
    </row>
    <row r="10" spans="3:11" ht="15" x14ac:dyDescent="0.25">
      <c r="C10" s="116" t="s">
        <v>70</v>
      </c>
      <c r="D10" s="124"/>
      <c r="E10" s="125"/>
      <c r="F10" s="125"/>
      <c r="G10" s="125"/>
      <c r="H10" s="126"/>
      <c r="I10" s="125"/>
    </row>
    <row r="11" spans="3:11" ht="35.1" customHeight="1" x14ac:dyDescent="0.25">
      <c r="C11" s="10"/>
      <c r="D11" s="256"/>
      <c r="E11" s="257"/>
      <c r="F11" s="255"/>
      <c r="G11" s="255"/>
      <c r="H11" s="255"/>
      <c r="I11" s="255"/>
      <c r="J11" s="249"/>
    </row>
    <row r="12" spans="3:11" ht="39.950000000000003" customHeight="1" x14ac:dyDescent="0.2">
      <c r="C12" s="389" t="s">
        <v>63</v>
      </c>
      <c r="D12" s="389" t="s">
        <v>39</v>
      </c>
      <c r="E12" s="390">
        <v>15</v>
      </c>
      <c r="F12" s="391">
        <v>1915</v>
      </c>
      <c r="G12" s="392"/>
      <c r="H12" s="393">
        <f>F12</f>
        <v>1915</v>
      </c>
      <c r="I12" s="394"/>
      <c r="K12" s="6"/>
    </row>
    <row r="13" spans="3:11" ht="39.950000000000003" customHeight="1" x14ac:dyDescent="0.2">
      <c r="C13" s="389" t="s">
        <v>64</v>
      </c>
      <c r="D13" s="389" t="s">
        <v>65</v>
      </c>
      <c r="E13" s="390">
        <v>15</v>
      </c>
      <c r="F13" s="391">
        <v>2337</v>
      </c>
      <c r="G13" s="392"/>
      <c r="H13" s="393">
        <f>F13</f>
        <v>2337</v>
      </c>
      <c r="I13" s="394"/>
      <c r="K13" s="6"/>
    </row>
    <row r="14" spans="3:11" ht="39.950000000000003" customHeight="1" x14ac:dyDescent="0.2">
      <c r="C14" s="389" t="s">
        <v>32</v>
      </c>
      <c r="D14" s="389" t="s">
        <v>30</v>
      </c>
      <c r="E14" s="390">
        <v>15</v>
      </c>
      <c r="F14" s="391">
        <v>3071</v>
      </c>
      <c r="G14" s="392"/>
      <c r="H14" s="393">
        <v>3071</v>
      </c>
      <c r="I14" s="394"/>
      <c r="J14" s="388"/>
      <c r="K14" s="6"/>
    </row>
    <row r="15" spans="3:11" ht="39.950000000000003" customHeight="1" x14ac:dyDescent="0.2">
      <c r="C15" s="389" t="s">
        <v>40</v>
      </c>
      <c r="D15" s="389" t="s">
        <v>274</v>
      </c>
      <c r="E15" s="390">
        <v>15</v>
      </c>
      <c r="F15" s="391">
        <v>1844</v>
      </c>
      <c r="G15" s="392"/>
      <c r="H15" s="393">
        <v>1844</v>
      </c>
      <c r="I15" s="394"/>
      <c r="J15" s="254"/>
      <c r="K15" s="248"/>
    </row>
    <row r="16" spans="3:11" ht="39.950000000000003" customHeight="1" x14ac:dyDescent="0.2">
      <c r="C16" s="395" t="s">
        <v>42</v>
      </c>
      <c r="D16" s="389" t="s">
        <v>43</v>
      </c>
      <c r="E16" s="396">
        <v>15</v>
      </c>
      <c r="F16" s="391">
        <v>2206</v>
      </c>
      <c r="G16" s="392"/>
      <c r="H16" s="393">
        <v>2206</v>
      </c>
      <c r="I16" s="394"/>
      <c r="J16" s="254"/>
      <c r="K16" s="248"/>
    </row>
    <row r="17" spans="3:11" ht="39.950000000000003" customHeight="1" x14ac:dyDescent="0.2">
      <c r="C17" s="395" t="s">
        <v>57</v>
      </c>
      <c r="D17" s="389" t="s">
        <v>87</v>
      </c>
      <c r="E17" s="396">
        <v>15</v>
      </c>
      <c r="F17" s="391">
        <v>1430</v>
      </c>
      <c r="G17" s="392"/>
      <c r="H17" s="393">
        <v>1430</v>
      </c>
      <c r="I17" s="394"/>
      <c r="J17" s="254"/>
      <c r="K17" s="248"/>
    </row>
    <row r="18" spans="3:11" ht="39.950000000000003" customHeight="1" x14ac:dyDescent="0.2">
      <c r="C18" s="389"/>
      <c r="D18" s="389"/>
      <c r="E18" s="390"/>
      <c r="F18" s="391"/>
      <c r="G18" s="392"/>
      <c r="H18" s="393"/>
      <c r="I18" s="394"/>
      <c r="J18" s="254"/>
      <c r="K18" s="248"/>
    </row>
    <row r="19" spans="3:11" ht="35.1" customHeight="1" x14ac:dyDescent="0.2">
      <c r="C19" s="66"/>
      <c r="D19" s="397"/>
      <c r="E19" s="397"/>
      <c r="F19" s="397"/>
      <c r="G19" s="397"/>
      <c r="H19" s="397"/>
      <c r="I19" s="1"/>
    </row>
    <row r="20" spans="3:11" ht="35.1" customHeight="1" x14ac:dyDescent="0.25">
      <c r="C20" s="66"/>
      <c r="D20" s="67" t="s">
        <v>66</v>
      </c>
      <c r="E20" s="68"/>
      <c r="F20" s="69">
        <f>SUM(F12:F19)</f>
        <v>12803</v>
      </c>
      <c r="G20" s="69">
        <f>SUM(G12:G19)</f>
        <v>0</v>
      </c>
      <c r="H20" s="69">
        <f>SUM(H12:H19)</f>
        <v>12803</v>
      </c>
      <c r="I20" s="50"/>
    </row>
    <row r="21" spans="3:11" ht="35.1" customHeight="1" x14ac:dyDescent="0.25">
      <c r="C21" s="66"/>
      <c r="D21" s="134"/>
      <c r="E21" s="135"/>
      <c r="F21" s="136"/>
      <c r="G21" s="136"/>
      <c r="H21" s="136"/>
      <c r="I21" s="137"/>
    </row>
    <row r="22" spans="3:11" ht="35.1" customHeight="1" x14ac:dyDescent="0.25">
      <c r="C22" s="66"/>
      <c r="D22" s="134"/>
      <c r="E22" s="135"/>
      <c r="F22" s="136"/>
      <c r="G22" s="136"/>
      <c r="H22" s="136"/>
      <c r="I22" s="137"/>
    </row>
    <row r="23" spans="3:11" ht="35.1" customHeight="1" x14ac:dyDescent="0.2">
      <c r="C23" s="1"/>
      <c r="D23" s="1"/>
      <c r="E23" s="1"/>
      <c r="F23" s="1"/>
      <c r="G23" s="1"/>
      <c r="H23" s="1"/>
      <c r="I23" s="1"/>
    </row>
    <row r="24" spans="3:11" x14ac:dyDescent="0.2">
      <c r="C24" s="1"/>
      <c r="D24" s="1"/>
      <c r="E24" s="1"/>
      <c r="F24" s="1"/>
      <c r="G24" s="1"/>
      <c r="H24" s="1"/>
      <c r="I24" s="1"/>
    </row>
    <row r="25" spans="3:11" x14ac:dyDescent="0.2">
      <c r="C25" s="61"/>
      <c r="D25" s="1"/>
      <c r="E25" s="1"/>
      <c r="F25" s="1"/>
      <c r="G25" s="1"/>
      <c r="H25" s="61"/>
      <c r="I25" s="61"/>
    </row>
    <row r="26" spans="3:11" x14ac:dyDescent="0.2">
      <c r="C26" s="29" t="s">
        <v>192</v>
      </c>
      <c r="D26" s="1"/>
      <c r="E26" s="1"/>
      <c r="F26" s="1"/>
      <c r="G26" s="1"/>
      <c r="H26" s="441" t="s">
        <v>190</v>
      </c>
      <c r="I26" s="441"/>
    </row>
    <row r="27" spans="3:11" x14ac:dyDescent="0.2">
      <c r="C27" s="30" t="s">
        <v>9</v>
      </c>
      <c r="D27" s="7"/>
      <c r="E27" s="7"/>
      <c r="F27" s="7"/>
      <c r="G27" s="7"/>
      <c r="H27" s="410" t="s">
        <v>162</v>
      </c>
      <c r="I27" s="410"/>
    </row>
    <row r="28" spans="3:11" x14ac:dyDescent="0.2">
      <c r="C28" s="1"/>
      <c r="D28" s="1"/>
      <c r="E28" s="1"/>
      <c r="F28" s="1"/>
      <c r="G28" s="1"/>
      <c r="H28" s="1"/>
      <c r="I28" s="1"/>
    </row>
    <row r="29" spans="3:11" x14ac:dyDescent="0.2">
      <c r="C29" s="1"/>
      <c r="D29" s="1"/>
      <c r="E29" s="1"/>
      <c r="F29" s="1"/>
      <c r="G29" s="1"/>
      <c r="H29" s="1"/>
      <c r="I29" s="1"/>
    </row>
    <row r="30" spans="3:11" x14ac:dyDescent="0.2">
      <c r="C30" s="1"/>
      <c r="D30" s="1"/>
      <c r="E30" s="1"/>
      <c r="F30" s="1"/>
      <c r="G30" s="1"/>
      <c r="H30" s="1"/>
      <c r="I30" s="1"/>
    </row>
    <row r="31" spans="3:11" x14ac:dyDescent="0.2">
      <c r="C31" s="1"/>
      <c r="D31" s="1"/>
      <c r="E31" s="1"/>
      <c r="F31" s="1"/>
      <c r="G31" s="1"/>
      <c r="H31" s="1"/>
      <c r="I31" s="1"/>
    </row>
    <row r="32" spans="3:11" x14ac:dyDescent="0.2">
      <c r="C32" s="2"/>
      <c r="D32" s="1"/>
      <c r="E32" s="1"/>
      <c r="F32" s="2"/>
      <c r="G32" s="1"/>
      <c r="H32" s="1"/>
      <c r="I32" s="1"/>
    </row>
    <row r="33" spans="3:9" x14ac:dyDescent="0.2">
      <c r="C33" s="7"/>
      <c r="D33" s="7"/>
      <c r="E33" s="7"/>
      <c r="F33" s="7"/>
      <c r="G33" s="7"/>
      <c r="H33" s="7"/>
      <c r="I33" s="7"/>
    </row>
    <row r="34" spans="3:9" x14ac:dyDescent="0.2">
      <c r="C34" s="1"/>
      <c r="D34" s="1"/>
      <c r="E34" s="1"/>
      <c r="F34" s="1"/>
      <c r="G34" s="1"/>
      <c r="H34" s="1"/>
      <c r="I34" s="1"/>
    </row>
  </sheetData>
  <sheetProtection selectLockedCells="1" selectUnlockedCells="1"/>
  <mergeCells count="7">
    <mergeCell ref="H26:I26"/>
    <mergeCell ref="H27:I27"/>
    <mergeCell ref="C3:I3"/>
    <mergeCell ref="C4:I4"/>
    <mergeCell ref="F7:G7"/>
    <mergeCell ref="C5:I5"/>
    <mergeCell ref="C6:I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15"/>
  <cols>
    <col min="1" max="1" width="11" style="274"/>
    <col min="2" max="2" width="49.5703125" style="274" customWidth="1"/>
    <col min="3" max="3" width="15.42578125" style="274" customWidth="1"/>
    <col min="4" max="4" width="4.28515625" style="274" customWidth="1"/>
    <col min="5" max="5" width="11.85546875" style="274" hidden="1" customWidth="1"/>
    <col min="6" max="6" width="43.5703125" style="274" customWidth="1"/>
    <col min="7" max="7" width="12" style="274" bestFit="1" customWidth="1"/>
    <col min="8" max="8" width="12.28515625" style="274" bestFit="1" customWidth="1"/>
    <col min="9" max="9" width="11" style="274" bestFit="1" customWidth="1"/>
    <col min="10" max="10" width="10.5703125" style="274" customWidth="1"/>
    <col min="11" max="11" width="11" style="274"/>
    <col min="12" max="12" width="12" style="274" hidden="1" customWidth="1"/>
    <col min="13" max="14" width="11.28515625" style="274" hidden="1" customWidth="1"/>
    <col min="15" max="15" width="11" style="274"/>
    <col min="16" max="17" width="11.140625" style="274" bestFit="1" customWidth="1"/>
    <col min="18" max="22" width="8.7109375" style="274" customWidth="1"/>
    <col min="23" max="24" width="11" style="274"/>
    <col min="25" max="25" width="12.28515625" style="274" bestFit="1" customWidth="1"/>
    <col min="26" max="26" width="11" style="274" bestFit="1" customWidth="1"/>
    <col min="27" max="27" width="10.5703125" style="274" customWidth="1"/>
    <col min="28" max="28" width="11" style="274"/>
    <col min="29" max="29" width="12" style="274" hidden="1" customWidth="1"/>
    <col min="30" max="31" width="11.28515625" style="274" hidden="1" customWidth="1"/>
    <col min="32" max="32" width="11" style="274"/>
    <col min="33" max="34" width="11.140625" style="274" bestFit="1" customWidth="1"/>
    <col min="35" max="16384" width="11" style="274"/>
  </cols>
  <sheetData>
    <row r="1" spans="2:34" ht="12.75" x14ac:dyDescent="0.2">
      <c r="B1" s="275"/>
      <c r="C1" s="275"/>
      <c r="D1" s="275"/>
      <c r="E1" s="275"/>
      <c r="F1" s="275"/>
    </row>
    <row r="2" spans="2:34" ht="25.5" customHeight="1" x14ac:dyDescent="0.3">
      <c r="B2" s="276" t="s">
        <v>324</v>
      </c>
      <c r="C2" s="277"/>
      <c r="D2" s="277"/>
      <c r="E2" s="277"/>
      <c r="F2" s="277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8" t="s">
        <v>295</v>
      </c>
      <c r="C3" s="277"/>
      <c r="D3" s="277"/>
      <c r="E3" s="277"/>
      <c r="F3" s="277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9" t="s">
        <v>325</v>
      </c>
      <c r="C4" s="280"/>
      <c r="D4" s="277"/>
      <c r="E4" s="277"/>
      <c r="F4" s="277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81" t="s">
        <v>296</v>
      </c>
      <c r="C5" s="280"/>
      <c r="D5" s="277"/>
      <c r="E5" s="277"/>
      <c r="F5" s="277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82"/>
      <c r="C7" s="282"/>
      <c r="D7" s="282"/>
      <c r="E7" s="282"/>
      <c r="F7" s="282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82"/>
      <c r="C8" s="282"/>
      <c r="D8" s="282"/>
      <c r="E8" s="282"/>
      <c r="F8" s="282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83" t="s">
        <v>297</v>
      </c>
      <c r="C9" s="283"/>
      <c r="D9" s="284"/>
      <c r="E9" s="283"/>
      <c r="F9" s="285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84"/>
      <c r="C10" s="284"/>
      <c r="D10" s="284"/>
      <c r="E10" s="284"/>
      <c r="F10" s="284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86" t="s">
        <v>298</v>
      </c>
      <c r="C11" s="287">
        <v>2131.73</v>
      </c>
      <c r="D11" s="286"/>
      <c r="E11" s="286"/>
      <c r="F11" s="286"/>
      <c r="G11" s="288"/>
      <c r="H11" s="446" t="s">
        <v>326</v>
      </c>
      <c r="I11" s="446"/>
      <c r="J11" s="446"/>
      <c r="K11" s="446"/>
      <c r="L11" s="446"/>
      <c r="M11" s="446"/>
      <c r="N11" s="446"/>
      <c r="O11" s="446"/>
      <c r="R11" s="289"/>
      <c r="S11" s="289"/>
      <c r="T11" s="289"/>
      <c r="U11" s="289"/>
      <c r="V11" s="289"/>
      <c r="W11" s="289"/>
      <c r="X11" s="289"/>
      <c r="Y11" s="446" t="s">
        <v>299</v>
      </c>
      <c r="Z11" s="446"/>
      <c r="AA11" s="446"/>
      <c r="AB11" s="446"/>
      <c r="AC11" s="446"/>
      <c r="AD11" s="446"/>
      <c r="AE11" s="446"/>
      <c r="AF11" s="446"/>
    </row>
    <row r="12" spans="2:34" ht="20.25" customHeight="1" x14ac:dyDescent="0.25">
      <c r="B12" s="290" t="s">
        <v>300</v>
      </c>
      <c r="C12" s="291">
        <f>C11/15*30.4</f>
        <v>4320.3061333333326</v>
      </c>
      <c r="D12" s="292"/>
      <c r="E12" s="292"/>
      <c r="F12" s="292"/>
      <c r="G12" s="293"/>
      <c r="H12" s="289"/>
      <c r="J12" s="294"/>
      <c r="K12" s="294"/>
      <c r="R12" s="1"/>
      <c r="S12" s="1"/>
      <c r="T12" s="1"/>
      <c r="U12" s="1"/>
      <c r="V12" s="1"/>
      <c r="W12" s="293"/>
      <c r="X12" s="289"/>
      <c r="Y12" s="289"/>
      <c r="AA12" s="294"/>
      <c r="AB12" s="294"/>
    </row>
    <row r="13" spans="2:34" ht="22.5" customHeight="1" x14ac:dyDescent="0.25">
      <c r="B13" s="295" t="s">
        <v>301</v>
      </c>
      <c r="C13" s="291">
        <v>0</v>
      </c>
      <c r="D13" s="292"/>
      <c r="E13" s="292"/>
      <c r="F13" s="292"/>
      <c r="H13" s="296" t="s">
        <v>302</v>
      </c>
      <c r="I13" s="296"/>
      <c r="J13" s="289"/>
      <c r="K13" s="1"/>
      <c r="L13" s="296"/>
      <c r="M13" s="289"/>
      <c r="N13" s="289"/>
      <c r="P13" s="296" t="s">
        <v>155</v>
      </c>
      <c r="Q13" s="297"/>
      <c r="Y13" s="296" t="s">
        <v>302</v>
      </c>
      <c r="Z13" s="296"/>
      <c r="AA13" s="289"/>
      <c r="AB13" s="1"/>
      <c r="AC13" s="296"/>
      <c r="AD13" s="289"/>
      <c r="AE13" s="289"/>
      <c r="AG13" s="296" t="s">
        <v>155</v>
      </c>
      <c r="AH13" s="297"/>
    </row>
    <row r="14" spans="2:34" ht="13.5" customHeight="1" x14ac:dyDescent="0.25">
      <c r="B14" s="295" t="s">
        <v>303</v>
      </c>
      <c r="C14" s="298"/>
      <c r="D14" s="292"/>
      <c r="E14" s="292"/>
      <c r="F14" s="292"/>
      <c r="H14" s="288" t="s">
        <v>297</v>
      </c>
      <c r="I14" s="289"/>
      <c r="J14" s="296"/>
      <c r="K14" s="299"/>
      <c r="L14" s="288"/>
      <c r="M14" s="296"/>
      <c r="N14" s="300"/>
      <c r="O14" s="301"/>
      <c r="P14" s="288" t="s">
        <v>304</v>
      </c>
      <c r="Q14" s="302"/>
      <c r="Y14" s="288" t="s">
        <v>297</v>
      </c>
      <c r="Z14" s="289"/>
      <c r="AA14" s="296"/>
      <c r="AB14" s="299"/>
      <c r="AC14" s="288"/>
      <c r="AD14" s="296"/>
      <c r="AE14" s="300"/>
      <c r="AF14" s="301"/>
      <c r="AG14" s="288" t="s">
        <v>304</v>
      </c>
      <c r="AH14" s="302"/>
    </row>
    <row r="15" spans="2:34" ht="20.25" customHeight="1" x14ac:dyDescent="0.25">
      <c r="B15" s="295" t="s">
        <v>305</v>
      </c>
      <c r="C15" s="291">
        <f>C12-C13</f>
        <v>4320.3061333333326</v>
      </c>
      <c r="D15" s="292"/>
      <c r="E15" s="303"/>
      <c r="F15" s="292"/>
      <c r="H15" s="304" t="s">
        <v>306</v>
      </c>
      <c r="I15" s="304" t="s">
        <v>307</v>
      </c>
      <c r="J15" s="304" t="s">
        <v>308</v>
      </c>
      <c r="K15" s="305"/>
      <c r="L15" s="304"/>
      <c r="M15" s="304"/>
      <c r="N15" s="304"/>
      <c r="O15" s="306"/>
      <c r="P15" s="304" t="s">
        <v>309</v>
      </c>
      <c r="Q15" s="304" t="s">
        <v>155</v>
      </c>
      <c r="Y15" s="304" t="s">
        <v>306</v>
      </c>
      <c r="Z15" s="304" t="s">
        <v>307</v>
      </c>
      <c r="AA15" s="304" t="s">
        <v>308</v>
      </c>
      <c r="AB15" s="305"/>
      <c r="AC15" s="304"/>
      <c r="AD15" s="304"/>
      <c r="AE15" s="304"/>
      <c r="AF15" s="306"/>
      <c r="AG15" s="304" t="s">
        <v>309</v>
      </c>
      <c r="AH15" s="304" t="s">
        <v>155</v>
      </c>
    </row>
    <row r="16" spans="2:34" ht="22.5" customHeight="1" x14ac:dyDescent="0.25">
      <c r="B16" s="295" t="s">
        <v>310</v>
      </c>
      <c r="C16" s="291">
        <f>VLOOKUP(C15,TARIFA,1)</f>
        <v>578.53</v>
      </c>
      <c r="D16" s="292"/>
      <c r="E16" s="303"/>
      <c r="F16" s="292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92"/>
      <c r="C17" s="298"/>
      <c r="D17" s="292"/>
      <c r="E17" s="307"/>
      <c r="F17" s="292"/>
      <c r="H17" s="308">
        <v>0.01</v>
      </c>
      <c r="I17" s="308">
        <v>0</v>
      </c>
      <c r="J17" s="309">
        <v>1.9199999999999998E-2</v>
      </c>
      <c r="K17" s="308"/>
      <c r="L17" s="308"/>
      <c r="M17" s="308"/>
      <c r="N17" s="309"/>
      <c r="O17" s="308"/>
      <c r="P17" s="308">
        <v>0.01</v>
      </c>
      <c r="Q17" s="308">
        <v>407.02</v>
      </c>
      <c r="Y17" s="308">
        <v>0.01</v>
      </c>
      <c r="Z17" s="308">
        <v>0</v>
      </c>
      <c r="AA17" s="309">
        <v>1.9199999999999998E-2</v>
      </c>
      <c r="AB17" s="308"/>
      <c r="AC17" s="308"/>
      <c r="AD17" s="308"/>
      <c r="AE17" s="309"/>
      <c r="AF17" s="308"/>
      <c r="AG17" s="308">
        <v>0.01</v>
      </c>
      <c r="AH17" s="308">
        <v>407.02</v>
      </c>
    </row>
    <row r="18" spans="2:34" ht="20.25" customHeight="1" x14ac:dyDescent="0.2">
      <c r="B18" s="295" t="s">
        <v>311</v>
      </c>
      <c r="C18" s="291">
        <f>C15-C16</f>
        <v>3741.7761333333328</v>
      </c>
      <c r="D18" s="303"/>
      <c r="E18" s="303"/>
      <c r="F18" s="292"/>
      <c r="H18" s="308">
        <v>578.53</v>
      </c>
      <c r="I18" s="308">
        <v>11.11</v>
      </c>
      <c r="J18" s="309">
        <v>6.4000000000000001E-2</v>
      </c>
      <c r="K18" s="308"/>
      <c r="L18" s="308"/>
      <c r="M18" s="308"/>
      <c r="N18" s="309"/>
      <c r="O18" s="308"/>
      <c r="P18" s="308">
        <v>1768.97</v>
      </c>
      <c r="Q18" s="308">
        <v>406.83</v>
      </c>
      <c r="Y18" s="308">
        <v>578.53</v>
      </c>
      <c r="Z18" s="308">
        <v>11.11</v>
      </c>
      <c r="AA18" s="309">
        <v>6.4000000000000001E-2</v>
      </c>
      <c r="AB18" s="308"/>
      <c r="AC18" s="308"/>
      <c r="AD18" s="308"/>
      <c r="AE18" s="309"/>
      <c r="AF18" s="308"/>
      <c r="AG18" s="308">
        <v>1768.97</v>
      </c>
      <c r="AH18" s="308">
        <v>406.83</v>
      </c>
    </row>
    <row r="19" spans="2:34" ht="22.5" customHeight="1" x14ac:dyDescent="0.25">
      <c r="B19" s="295" t="s">
        <v>312</v>
      </c>
      <c r="C19" s="310">
        <f>VLOOKUP(C15,TARIFA,3)</f>
        <v>6.4000000000000001E-2</v>
      </c>
      <c r="D19" s="292"/>
      <c r="E19" s="311"/>
      <c r="F19" s="292"/>
      <c r="H19" s="308">
        <v>4910.1899999999996</v>
      </c>
      <c r="I19" s="308">
        <v>288.33</v>
      </c>
      <c r="J19" s="309">
        <v>0.10879999999999999</v>
      </c>
      <c r="K19" s="308"/>
      <c r="L19" s="308"/>
      <c r="M19" s="308"/>
      <c r="N19" s="309"/>
      <c r="O19" s="308"/>
      <c r="P19" s="308">
        <v>2653.39</v>
      </c>
      <c r="Q19" s="308">
        <v>406.62</v>
      </c>
      <c r="Y19" s="308">
        <v>4910.1899999999996</v>
      </c>
      <c r="Z19" s="308">
        <v>288.33</v>
      </c>
      <c r="AA19" s="309">
        <v>0.10879999999999999</v>
      </c>
      <c r="AB19" s="308"/>
      <c r="AC19" s="308"/>
      <c r="AD19" s="308"/>
      <c r="AE19" s="309"/>
      <c r="AF19" s="308"/>
      <c r="AG19" s="308">
        <v>2653.39</v>
      </c>
      <c r="AH19" s="308">
        <v>406.62</v>
      </c>
    </row>
    <row r="20" spans="2:34" ht="14.25" customHeight="1" x14ac:dyDescent="0.2">
      <c r="B20" s="292"/>
      <c r="C20" s="307"/>
      <c r="D20" s="292"/>
      <c r="E20" s="307"/>
      <c r="F20" s="292"/>
      <c r="H20" s="308">
        <v>8629.2099999999991</v>
      </c>
      <c r="I20" s="308">
        <v>692.96</v>
      </c>
      <c r="J20" s="309">
        <v>0.16</v>
      </c>
      <c r="K20" s="308"/>
      <c r="L20" s="308"/>
      <c r="M20" s="308"/>
      <c r="N20" s="309"/>
      <c r="O20" s="308"/>
      <c r="P20" s="308">
        <v>3472.85</v>
      </c>
      <c r="Q20" s="308">
        <v>392.77</v>
      </c>
      <c r="Y20" s="308">
        <v>8629.2099999999991</v>
      </c>
      <c r="Z20" s="308">
        <v>692.96</v>
      </c>
      <c r="AA20" s="309">
        <v>0.16</v>
      </c>
      <c r="AB20" s="308"/>
      <c r="AC20" s="308"/>
      <c r="AD20" s="308"/>
      <c r="AE20" s="309"/>
      <c r="AF20" s="308"/>
      <c r="AG20" s="308">
        <v>3472.85</v>
      </c>
      <c r="AH20" s="308">
        <v>392.77</v>
      </c>
    </row>
    <row r="21" spans="2:34" ht="20.25" customHeight="1" x14ac:dyDescent="0.2">
      <c r="B21" s="312" t="s">
        <v>313</v>
      </c>
      <c r="C21" s="313">
        <f>C18*C19</f>
        <v>239.47367253333331</v>
      </c>
      <c r="D21" s="314"/>
      <c r="E21" s="314"/>
      <c r="F21" s="292"/>
      <c r="H21" s="308">
        <v>10031.08</v>
      </c>
      <c r="I21" s="308">
        <v>917.26</v>
      </c>
      <c r="J21" s="309">
        <v>0.1792</v>
      </c>
      <c r="K21" s="308"/>
      <c r="L21" s="308"/>
      <c r="M21" s="308"/>
      <c r="N21" s="309"/>
      <c r="O21" s="308"/>
      <c r="P21" s="308">
        <v>3537.88</v>
      </c>
      <c r="Q21" s="308">
        <v>382.46</v>
      </c>
      <c r="Y21" s="308">
        <v>10031.08</v>
      </c>
      <c r="Z21" s="308">
        <v>917.26</v>
      </c>
      <c r="AA21" s="309">
        <v>0.1792</v>
      </c>
      <c r="AB21" s="308"/>
      <c r="AC21" s="308"/>
      <c r="AD21" s="308"/>
      <c r="AE21" s="309"/>
      <c r="AF21" s="308"/>
      <c r="AG21" s="308">
        <v>3537.88</v>
      </c>
      <c r="AH21" s="308">
        <v>382.46</v>
      </c>
    </row>
    <row r="22" spans="2:34" ht="17.25" customHeight="1" x14ac:dyDescent="0.25">
      <c r="B22" s="295" t="s">
        <v>314</v>
      </c>
      <c r="C22" s="291">
        <f>VLOOKUP(C15,TARIFA,2)</f>
        <v>11.11</v>
      </c>
      <c r="D22" s="292"/>
      <c r="E22" s="315"/>
      <c r="F22" s="292"/>
      <c r="H22" s="308">
        <v>12009.95</v>
      </c>
      <c r="I22" s="308">
        <v>1271.8699999999999</v>
      </c>
      <c r="J22" s="309">
        <v>0.21360000000000001</v>
      </c>
      <c r="K22" s="308"/>
      <c r="L22" s="308"/>
      <c r="M22" s="308"/>
      <c r="N22" s="309"/>
      <c r="O22" s="308"/>
      <c r="P22" s="308">
        <v>4446.16</v>
      </c>
      <c r="Q22" s="308">
        <v>354.23</v>
      </c>
      <c r="Y22" s="308">
        <v>12009.95</v>
      </c>
      <c r="Z22" s="308">
        <v>1271.8699999999999</v>
      </c>
      <c r="AA22" s="309">
        <v>0.21360000000000001</v>
      </c>
      <c r="AB22" s="308"/>
      <c r="AC22" s="308"/>
      <c r="AD22" s="308"/>
      <c r="AE22" s="309"/>
      <c r="AF22" s="308"/>
      <c r="AG22" s="308">
        <v>4446.16</v>
      </c>
      <c r="AH22" s="308">
        <v>354.23</v>
      </c>
    </row>
    <row r="23" spans="2:34" ht="14.25" customHeight="1" x14ac:dyDescent="0.2">
      <c r="B23" s="66"/>
      <c r="C23" s="316"/>
      <c r="D23" s="292"/>
      <c r="E23" s="307"/>
      <c r="F23" s="292"/>
      <c r="H23" s="308">
        <v>24222.32</v>
      </c>
      <c r="I23" s="308">
        <v>3880.44</v>
      </c>
      <c r="J23" s="309">
        <v>0.23519999999999999</v>
      </c>
      <c r="K23" s="308"/>
      <c r="L23" s="308"/>
      <c r="M23" s="308"/>
      <c r="N23" s="309"/>
      <c r="O23" s="308"/>
      <c r="P23" s="308">
        <v>4717.1899999999996</v>
      </c>
      <c r="Q23" s="308">
        <v>324.87</v>
      </c>
      <c r="Y23" s="308">
        <v>24222.32</v>
      </c>
      <c r="Z23" s="308">
        <v>3880.44</v>
      </c>
      <c r="AA23" s="309">
        <v>0.23519999999999999</v>
      </c>
      <c r="AB23" s="308"/>
      <c r="AC23" s="308"/>
      <c r="AD23" s="308"/>
      <c r="AE23" s="309"/>
      <c r="AF23" s="308"/>
      <c r="AG23" s="308">
        <v>4717.1899999999996</v>
      </c>
      <c r="AH23" s="308">
        <v>324.87</v>
      </c>
    </row>
    <row r="24" spans="2:34" ht="20.25" customHeight="1" x14ac:dyDescent="0.2">
      <c r="B24" s="66" t="s">
        <v>315</v>
      </c>
      <c r="C24" s="316">
        <f>+C21+C22</f>
        <v>250.5836725333333</v>
      </c>
      <c r="D24" s="292"/>
      <c r="E24" s="314"/>
      <c r="F24" s="317"/>
      <c r="H24" s="308">
        <v>38177.699999999997</v>
      </c>
      <c r="I24" s="308">
        <v>7162.74</v>
      </c>
      <c r="J24" s="309">
        <v>0.3</v>
      </c>
      <c r="K24" s="308"/>
      <c r="L24" s="308"/>
      <c r="M24" s="308"/>
      <c r="N24" s="309"/>
      <c r="O24" s="308"/>
      <c r="P24" s="308">
        <v>5335.43</v>
      </c>
      <c r="Q24" s="308">
        <v>294.63</v>
      </c>
      <c r="Y24" s="308">
        <v>38177.699999999997</v>
      </c>
      <c r="Z24" s="308">
        <v>7162.74</v>
      </c>
      <c r="AA24" s="309">
        <v>0.3</v>
      </c>
      <c r="AB24" s="308"/>
      <c r="AC24" s="308"/>
      <c r="AD24" s="308"/>
      <c r="AE24" s="309"/>
      <c r="AF24" s="308"/>
      <c r="AG24" s="308">
        <v>5335.43</v>
      </c>
      <c r="AH24" s="308">
        <v>294.63</v>
      </c>
    </row>
    <row r="25" spans="2:34" ht="21.75" customHeight="1" x14ac:dyDescent="0.2">
      <c r="C25" s="318"/>
      <c r="D25" s="319"/>
      <c r="E25" s="303"/>
      <c r="F25" s="292"/>
      <c r="H25" s="308">
        <v>72887.509999999995</v>
      </c>
      <c r="I25" s="308">
        <v>17575.689999999999</v>
      </c>
      <c r="J25" s="309">
        <v>0.32</v>
      </c>
      <c r="K25" s="308"/>
      <c r="L25" s="308"/>
      <c r="M25" s="308"/>
      <c r="N25" s="320"/>
      <c r="O25" s="308"/>
      <c r="P25" s="308">
        <v>6224.68</v>
      </c>
      <c r="Q25" s="308">
        <v>253.54</v>
      </c>
      <c r="Y25" s="308">
        <v>72887.509999999995</v>
      </c>
      <c r="Z25" s="308">
        <v>17575.689999999999</v>
      </c>
      <c r="AA25" s="309">
        <v>0.32</v>
      </c>
      <c r="AB25" s="308"/>
      <c r="AC25" s="308"/>
      <c r="AD25" s="308"/>
      <c r="AE25" s="320"/>
      <c r="AF25" s="308"/>
      <c r="AG25" s="308">
        <v>6224.68</v>
      </c>
      <c r="AH25" s="308">
        <v>253.54</v>
      </c>
    </row>
    <row r="26" spans="2:34" ht="21.75" customHeight="1" x14ac:dyDescent="0.25">
      <c r="B26" s="295" t="s">
        <v>316</v>
      </c>
      <c r="C26" s="291">
        <f>VLOOKUP(C15,SUBSIDIO,2)</f>
        <v>382.46</v>
      </c>
      <c r="D26" s="292"/>
      <c r="E26" s="321"/>
      <c r="F26" s="66"/>
      <c r="H26" s="308">
        <v>97183.34</v>
      </c>
      <c r="I26" s="308">
        <v>25350.35</v>
      </c>
      <c r="J26" s="309">
        <v>0.34</v>
      </c>
      <c r="K26" s="308"/>
      <c r="L26" s="308"/>
      <c r="M26" s="308"/>
      <c r="N26" s="308"/>
      <c r="O26" s="308"/>
      <c r="P26" s="308">
        <v>7113.91</v>
      </c>
      <c r="Q26" s="308">
        <v>217.61</v>
      </c>
      <c r="Y26" s="308">
        <v>97183.34</v>
      </c>
      <c r="Z26" s="308">
        <v>25350.35</v>
      </c>
      <c r="AA26" s="309">
        <v>0.34</v>
      </c>
      <c r="AB26" s="308"/>
      <c r="AC26" s="308"/>
      <c r="AD26" s="308"/>
      <c r="AE26" s="308"/>
      <c r="AF26" s="308"/>
      <c r="AG26" s="308">
        <v>7113.91</v>
      </c>
      <c r="AH26" s="308">
        <v>217.61</v>
      </c>
    </row>
    <row r="27" spans="2:34" ht="14.25" x14ac:dyDescent="0.2">
      <c r="B27" s="292"/>
      <c r="C27" s="298"/>
      <c r="D27" s="292"/>
      <c r="E27" s="307"/>
      <c r="F27" s="322"/>
      <c r="H27" s="308">
        <v>291550.01</v>
      </c>
      <c r="I27" s="308">
        <v>91435.02</v>
      </c>
      <c r="J27" s="309">
        <v>0.35</v>
      </c>
      <c r="K27" s="308"/>
      <c r="L27" s="308"/>
      <c r="M27" s="308"/>
      <c r="N27" s="308"/>
      <c r="O27" s="308"/>
      <c r="P27" s="308">
        <v>7382.34</v>
      </c>
      <c r="Q27" s="308">
        <v>0</v>
      </c>
      <c r="Y27" s="308">
        <v>291550.01</v>
      </c>
      <c r="Z27" s="308">
        <v>91435.02</v>
      </c>
      <c r="AA27" s="309">
        <v>0.35</v>
      </c>
      <c r="AB27" s="308"/>
      <c r="AC27" s="308"/>
      <c r="AD27" s="308"/>
      <c r="AE27" s="308"/>
      <c r="AF27" s="308"/>
      <c r="AG27" s="308">
        <v>7382.34</v>
      </c>
      <c r="AH27" s="308">
        <v>0</v>
      </c>
    </row>
    <row r="28" spans="2:34" ht="21.75" customHeight="1" thickBot="1" x14ac:dyDescent="0.3">
      <c r="B28" s="290" t="s">
        <v>317</v>
      </c>
      <c r="C28" s="323">
        <f>IF(C24&gt;C26,C24-C26,0)</f>
        <v>0</v>
      </c>
      <c r="D28" s="292"/>
      <c r="E28" s="307"/>
      <c r="F28" s="292"/>
      <c r="H28" s="308"/>
      <c r="I28" s="308"/>
      <c r="J28" s="309"/>
      <c r="Y28" s="308"/>
      <c r="Z28" s="308"/>
      <c r="AA28" s="309"/>
    </row>
    <row r="29" spans="2:34" ht="20.25" customHeight="1" thickTop="1" thickBot="1" x14ac:dyDescent="0.25">
      <c r="C29" s="318"/>
      <c r="D29" s="292"/>
      <c r="E29" s="292"/>
      <c r="F29" s="292"/>
      <c r="H29" s="308"/>
      <c r="I29" s="308"/>
      <c r="J29" s="308"/>
      <c r="Y29" s="308"/>
      <c r="Z29" s="308"/>
      <c r="AA29" s="308"/>
    </row>
    <row r="30" spans="2:34" ht="20.25" customHeight="1" thickTop="1" thickBot="1" x14ac:dyDescent="0.3">
      <c r="B30" s="290" t="s">
        <v>318</v>
      </c>
      <c r="C30" s="324">
        <f>IF(C24&lt;C26,C26-C24,0)</f>
        <v>131.87632746666668</v>
      </c>
      <c r="D30" s="292"/>
      <c r="E30" s="292"/>
      <c r="F30" s="292"/>
      <c r="H30" s="308"/>
      <c r="I30" s="308"/>
      <c r="J30" s="308"/>
      <c r="Y30" s="308"/>
      <c r="Z30" s="308"/>
      <c r="AA30" s="308"/>
    </row>
    <row r="31" spans="2:34" ht="27.75" customHeight="1" thickBot="1" x14ac:dyDescent="0.25">
      <c r="B31" s="325" t="s">
        <v>319</v>
      </c>
      <c r="C31" s="326">
        <f>IF((C28/30.4*15)&gt;0,(C28/30.4*15),0)</f>
        <v>0</v>
      </c>
      <c r="D31" s="292"/>
      <c r="E31" s="292"/>
      <c r="F31" s="292"/>
    </row>
    <row r="32" spans="2:34" ht="20.25" customHeight="1" thickBot="1" x14ac:dyDescent="0.25">
      <c r="B32" s="325" t="s">
        <v>320</v>
      </c>
      <c r="C32" s="326">
        <f>IF((C30/30.4*15)&gt;0,(C30/30.4*15),0)</f>
        <v>65.070556315789489</v>
      </c>
      <c r="D32" s="292"/>
      <c r="E32" s="292"/>
      <c r="F32" s="292"/>
    </row>
    <row r="33" spans="2:6" ht="20.25" customHeight="1" x14ac:dyDescent="0.2">
      <c r="B33" s="66"/>
      <c r="C33" s="66"/>
      <c r="D33" s="292"/>
      <c r="E33" s="292"/>
      <c r="F33" s="292"/>
    </row>
    <row r="34" spans="2:6" ht="20.25" customHeight="1" x14ac:dyDescent="0.25">
      <c r="B34" s="327" t="s">
        <v>321</v>
      </c>
      <c r="C34" s="66"/>
      <c r="D34" s="292"/>
      <c r="E34" s="292"/>
      <c r="F34" s="292"/>
    </row>
    <row r="35" spans="2:6" ht="10.5" customHeight="1" x14ac:dyDescent="0.2">
      <c r="B35" s="275"/>
      <c r="C35" s="275"/>
      <c r="D35" s="275"/>
      <c r="E35" s="275"/>
      <c r="F35" s="275"/>
    </row>
    <row r="36" spans="2:6" ht="18" customHeight="1" x14ac:dyDescent="0.25">
      <c r="B36" s="328" t="s">
        <v>322</v>
      </c>
      <c r="C36" s="329"/>
      <c r="D36" s="275"/>
      <c r="E36" s="275"/>
      <c r="F36" s="275"/>
    </row>
    <row r="37" spans="2:6" ht="17.25" customHeight="1" x14ac:dyDescent="0.25">
      <c r="B37" s="328" t="s">
        <v>323</v>
      </c>
      <c r="C37" s="329"/>
      <c r="D37" s="275"/>
      <c r="E37" s="275"/>
      <c r="F37" s="275"/>
    </row>
    <row r="38" spans="2:6" ht="12.75" x14ac:dyDescent="0.2">
      <c r="B38" s="275"/>
      <c r="C38" s="275"/>
      <c r="D38" s="275"/>
      <c r="E38" s="275"/>
      <c r="F38" s="1"/>
    </row>
    <row r="39" spans="2:6" ht="12.75" x14ac:dyDescent="0.2">
      <c r="B39" s="275"/>
      <c r="C39" s="275"/>
      <c r="D39" s="275"/>
      <c r="E39" s="275"/>
      <c r="F39" s="330"/>
    </row>
    <row r="40" spans="2:6" ht="12.75" x14ac:dyDescent="0.2">
      <c r="B40" s="275"/>
      <c r="C40" s="275"/>
      <c r="D40" s="275"/>
      <c r="E40" s="275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2020-10-29T20:25:46Z</cp:lastPrinted>
  <dcterms:created xsi:type="dcterms:W3CDTF">2000-05-05T04:08:27Z</dcterms:created>
  <dcterms:modified xsi:type="dcterms:W3CDTF">2020-11-06T20:17:38Z</dcterms:modified>
</cp:coreProperties>
</file>